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18 PAA\"/>
    </mc:Choice>
  </mc:AlternateContent>
  <xr:revisionPtr revIDLastSave="0" documentId="13_ncr:1_{5F720705-75CA-4028-BBA4-25C1F2A6B7FB}" xr6:coauthVersionLast="36" xr6:coauthVersionMax="36"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2025'!$A$6:$AJ$389</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32" i="20" l="1"/>
  <c r="S287" i="20"/>
  <c r="S286" i="20"/>
  <c r="S226" i="20"/>
  <c r="S246" i="20"/>
  <c r="S247" i="20"/>
  <c r="S244" i="20" l="1"/>
  <c r="S245" i="20"/>
  <c r="S13" i="20"/>
  <c r="S108" i="20" l="1"/>
  <c r="S123" i="20" l="1"/>
  <c r="S264" i="20" l="1"/>
  <c r="S258" i="20"/>
  <c r="S298" i="20"/>
  <c r="S296" i="20"/>
  <c r="S180" i="20"/>
  <c r="S293" i="20"/>
  <c r="S146" i="20"/>
  <c r="S144" i="20"/>
  <c r="S149" i="20"/>
  <c r="S150" i="20"/>
  <c r="S155" i="20"/>
  <c r="S133" i="20"/>
  <c r="S134" i="20"/>
  <c r="S360" i="20" l="1"/>
  <c r="S367" i="20"/>
  <c r="S223" i="20" l="1"/>
  <c r="S233" i="20" l="1"/>
  <c r="S174" i="20" l="1"/>
  <c r="S137" i="20"/>
  <c r="S119" i="20"/>
  <c r="S116" i="20"/>
  <c r="S118" i="20"/>
  <c r="S117" i="20"/>
  <c r="S160" i="20"/>
  <c r="S131" i="20"/>
  <c r="S156" i="20"/>
  <c r="S127" i="20"/>
  <c r="S148" i="20"/>
  <c r="S128" i="20"/>
  <c r="S159" i="20"/>
  <c r="S158" i="20"/>
  <c r="S129" i="20"/>
  <c r="S147" i="20"/>
  <c r="S126" i="20"/>
  <c r="S145" i="20"/>
  <c r="S379" i="20" l="1"/>
  <c r="S110" i="20" l="1"/>
  <c r="S109" i="20"/>
  <c r="S381" i="20" l="1"/>
  <c r="S380" i="20" l="1"/>
  <c r="S375" i="20"/>
  <c r="S385" i="20" l="1"/>
  <c r="S263" i="20"/>
  <c r="S243" i="20" l="1"/>
  <c r="S294" i="20" l="1"/>
  <c r="S242" i="20"/>
  <c r="S345" i="20" l="1"/>
  <c r="S344" i="20"/>
  <c r="S342" i="20"/>
  <c r="S338" i="20"/>
  <c r="S340" i="20"/>
  <c r="S343" i="20"/>
  <c r="S341" i="20"/>
  <c r="S337" i="20"/>
  <c r="S339" i="20"/>
  <c r="S88" i="20"/>
  <c r="S43" i="20" l="1"/>
  <c r="S292" i="20" l="1"/>
  <c r="S254" i="20" l="1"/>
  <c r="S262" i="20"/>
  <c r="S383" i="20" l="1"/>
  <c r="K8" i="18" l="1"/>
  <c r="K9" i="18" s="1"/>
  <c r="S151" i="20" l="1"/>
  <c r="S152" i="20"/>
  <c r="S237" i="20" l="1"/>
  <c r="S236" i="20" s="1"/>
  <c r="S234" i="20"/>
  <c r="S173" i="20" l="1"/>
  <c r="S171" i="20"/>
  <c r="AI173" i="20"/>
  <c r="AH173" i="20"/>
  <c r="AG173" i="20"/>
  <c r="AF173" i="20"/>
  <c r="AE173" i="20"/>
  <c r="AD173" i="20"/>
  <c r="AC173" i="20"/>
  <c r="AB173" i="20"/>
  <c r="AA173" i="20"/>
  <c r="Z173" i="20"/>
  <c r="Y173" i="20"/>
  <c r="X173" i="20"/>
  <c r="T173" i="20"/>
  <c r="R173" i="20"/>
  <c r="S212" i="20" l="1"/>
  <c r="S228" i="20"/>
  <c r="S259" i="20"/>
  <c r="S250" i="20"/>
  <c r="T236" i="20" l="1"/>
  <c r="R236" i="20"/>
  <c r="S179" i="20" l="1"/>
  <c r="S288" i="20"/>
  <c r="S285" i="20"/>
  <c r="S231" i="20" l="1"/>
  <c r="S230" i="20" s="1"/>
  <c r="S388" i="20" l="1"/>
  <c r="S384" i="20"/>
  <c r="S382" i="20"/>
  <c r="R382" i="20"/>
  <c r="R371" i="20"/>
  <c r="S347" i="20"/>
  <c r="R345" i="20"/>
  <c r="S374" i="20" l="1"/>
  <c r="S373" i="20" s="1"/>
  <c r="S83" i="20" l="1"/>
  <c r="T149" i="20" l="1"/>
  <c r="R149" i="20"/>
  <c r="Z384" i="20" l="1"/>
  <c r="Y384" i="20"/>
  <c r="Z383" i="20"/>
  <c r="Y383" i="20"/>
  <c r="AI382" i="20"/>
  <c r="AH382" i="20"/>
  <c r="AG382" i="20"/>
  <c r="AF382" i="20"/>
  <c r="AE382" i="20"/>
  <c r="AD382" i="20"/>
  <c r="AG380" i="20"/>
  <c r="AF380" i="20"/>
  <c r="AE380" i="20"/>
  <c r="AD380" i="20"/>
  <c r="AC380" i="20"/>
  <c r="AB380" i="20"/>
  <c r="AI378" i="20"/>
  <c r="AH378" i="20"/>
  <c r="AG378" i="20"/>
  <c r="AF378" i="20"/>
  <c r="AE378" i="20"/>
  <c r="AD378" i="20"/>
  <c r="AI376" i="20"/>
  <c r="AH376" i="20"/>
  <c r="AG376" i="20"/>
  <c r="AF376" i="20"/>
  <c r="AE376" i="20"/>
  <c r="AD376" i="20"/>
  <c r="AC376" i="20"/>
  <c r="AB376" i="20"/>
  <c r="AA376" i="20"/>
  <c r="Z376" i="20"/>
  <c r="AC368" i="20"/>
  <c r="AB368" i="20"/>
  <c r="AA368" i="20"/>
  <c r="Z368" i="20"/>
  <c r="Y368" i="20"/>
  <c r="X368" i="20"/>
  <c r="AF367" i="20"/>
  <c r="AE367" i="20"/>
  <c r="AD367" i="20"/>
  <c r="AC367" i="20"/>
  <c r="AB367" i="20"/>
  <c r="AA367" i="20"/>
  <c r="Z367" i="20"/>
  <c r="Y367" i="20"/>
  <c r="X367" i="20"/>
  <c r="AG366" i="20"/>
  <c r="AF366" i="20"/>
  <c r="AE366" i="20"/>
  <c r="AD366" i="20"/>
  <c r="AC366" i="20"/>
  <c r="AH365" i="20"/>
  <c r="AG365" i="20"/>
  <c r="AF365" i="20"/>
  <c r="AE365" i="20"/>
  <c r="AD365" i="20"/>
  <c r="AC365" i="20"/>
  <c r="AB365" i="20"/>
  <c r="AA365" i="20"/>
  <c r="Z365" i="20"/>
  <c r="Y365" i="20"/>
  <c r="AH364" i="20"/>
  <c r="AG364" i="20"/>
  <c r="AF364" i="20"/>
  <c r="AE364" i="20"/>
  <c r="AD364" i="20"/>
  <c r="AC364" i="20"/>
  <c r="AB364" i="20"/>
  <c r="AA364" i="20"/>
  <c r="Z364" i="20"/>
  <c r="Y364" i="20"/>
  <c r="AH363" i="20"/>
  <c r="AG363" i="20"/>
  <c r="AF363" i="20"/>
  <c r="AE363" i="20"/>
  <c r="AD363" i="20"/>
  <c r="AC363" i="20"/>
  <c r="AB363" i="20"/>
  <c r="AA363" i="20"/>
  <c r="Z363" i="20"/>
  <c r="Y363" i="20"/>
  <c r="AH362" i="20"/>
  <c r="AG362" i="20"/>
  <c r="AF362" i="20"/>
  <c r="AE362" i="20"/>
  <c r="AD362" i="20"/>
  <c r="AC362" i="20"/>
  <c r="AB362" i="20"/>
  <c r="AA362" i="20"/>
  <c r="Z362" i="20"/>
  <c r="Y362" i="20"/>
  <c r="AH361" i="20"/>
  <c r="AG361" i="20"/>
  <c r="AF361" i="20"/>
  <c r="AE361" i="20"/>
  <c r="AD361" i="20"/>
  <c r="AC361" i="20"/>
  <c r="AB361" i="20"/>
  <c r="AA361" i="20"/>
  <c r="Z361" i="20"/>
  <c r="Y361" i="20"/>
  <c r="AH360" i="20"/>
  <c r="AG360" i="20"/>
  <c r="AF360" i="20"/>
  <c r="AE360" i="20"/>
  <c r="AD360" i="20"/>
  <c r="AC360" i="20"/>
  <c r="AB360" i="20"/>
  <c r="AA360" i="20"/>
  <c r="Z360" i="20"/>
  <c r="Y360" i="20"/>
  <c r="AH358" i="20"/>
  <c r="AG358" i="20"/>
  <c r="AF358" i="20"/>
  <c r="AE358" i="20"/>
  <c r="AD358" i="20"/>
  <c r="AC358" i="20"/>
  <c r="AB358" i="20"/>
  <c r="AA358" i="20"/>
  <c r="Z358" i="20"/>
  <c r="Y358" i="20"/>
  <c r="AG357" i="20"/>
  <c r="AF357" i="20"/>
  <c r="AE357" i="20"/>
  <c r="AD357" i="20"/>
  <c r="AC357" i="20"/>
  <c r="AB357" i="20"/>
  <c r="AA357" i="20"/>
  <c r="Z357" i="20"/>
  <c r="Y357" i="20"/>
  <c r="X357" i="20"/>
  <c r="AH356" i="20"/>
  <c r="AG356" i="20"/>
  <c r="AF356" i="20"/>
  <c r="AE356" i="20"/>
  <c r="AD356" i="20"/>
  <c r="AC356" i="20"/>
  <c r="AB356" i="20"/>
  <c r="AA356" i="20"/>
  <c r="Z356" i="20"/>
  <c r="Y356" i="20"/>
  <c r="AH355" i="20"/>
  <c r="AG355" i="20"/>
  <c r="AF355" i="20"/>
  <c r="AE355" i="20"/>
  <c r="AD355" i="20"/>
  <c r="AC355" i="20"/>
  <c r="AB355" i="20"/>
  <c r="AA355" i="20"/>
  <c r="Z355" i="20"/>
  <c r="Y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F350" i="20"/>
  <c r="AE350" i="20"/>
  <c r="AD350" i="20"/>
  <c r="AC350" i="20"/>
  <c r="AB350" i="20"/>
  <c r="AA350" i="20"/>
  <c r="Z350" i="20"/>
  <c r="Y350" i="20"/>
  <c r="AF349" i="20"/>
  <c r="AE349" i="20"/>
  <c r="AD349" i="20"/>
  <c r="AC349" i="20"/>
  <c r="AB349" i="20"/>
  <c r="AA349" i="20"/>
  <c r="Z349" i="20"/>
  <c r="Y349" i="20"/>
  <c r="X349" i="20"/>
  <c r="AG348" i="20"/>
  <c r="AF348" i="20"/>
  <c r="AE348" i="20"/>
  <c r="AD348" i="20"/>
  <c r="AH346" i="20"/>
  <c r="AG346" i="20"/>
  <c r="AF346" i="20"/>
  <c r="AE346" i="20"/>
  <c r="AD346" i="20"/>
  <c r="AC346" i="20"/>
  <c r="AB346" i="20"/>
  <c r="AA346" i="20"/>
  <c r="Z346" i="20"/>
  <c r="AI344" i="20"/>
  <c r="AH344" i="20"/>
  <c r="AG344" i="20"/>
  <c r="AF344" i="20"/>
  <c r="AE344" i="20"/>
  <c r="AD344" i="20"/>
  <c r="AC344" i="20"/>
  <c r="AB344" i="20"/>
  <c r="AA344" i="20"/>
  <c r="AI342" i="20"/>
  <c r="AH342" i="20"/>
  <c r="AG342" i="20"/>
  <c r="AF342" i="20"/>
  <c r="AE342" i="20"/>
  <c r="AD342" i="20"/>
  <c r="AC342" i="20"/>
  <c r="AB342" i="20"/>
  <c r="AA342" i="20"/>
  <c r="AH340" i="20"/>
  <c r="AG340" i="20"/>
  <c r="AF340" i="20"/>
  <c r="AE340" i="20"/>
  <c r="AD340" i="20"/>
  <c r="AC340" i="20"/>
  <c r="AB340" i="20"/>
  <c r="AA340" i="20"/>
  <c r="AI338" i="20"/>
  <c r="AH338" i="20"/>
  <c r="AG338" i="20"/>
  <c r="AF338" i="20"/>
  <c r="AE338" i="20"/>
  <c r="AD338" i="20"/>
  <c r="AC338" i="20"/>
  <c r="AB338" i="20"/>
  <c r="AA338" i="20"/>
  <c r="AI374" i="20" l="1"/>
  <c r="AI373" i="20" s="1"/>
  <c r="AH374" i="20"/>
  <c r="AH373" i="20" s="1"/>
  <c r="AG374" i="20"/>
  <c r="AG373" i="20" s="1"/>
  <c r="AF374" i="20"/>
  <c r="AF373" i="20" s="1"/>
  <c r="AI336" i="20"/>
  <c r="AI335" i="20" s="1"/>
  <c r="AH336" i="20"/>
  <c r="AH335" i="20" s="1"/>
  <c r="AG336" i="20"/>
  <c r="AG335" i="20" s="1"/>
  <c r="AF336" i="20"/>
  <c r="AF335" i="20" s="1"/>
  <c r="AI330" i="20"/>
  <c r="AH330" i="20"/>
  <c r="AG330" i="20"/>
  <c r="AF330" i="20"/>
  <c r="AI327" i="20"/>
  <c r="AH327" i="20"/>
  <c r="AG327" i="20"/>
  <c r="AF327" i="20"/>
  <c r="AI325" i="20"/>
  <c r="AH325" i="20"/>
  <c r="AG325" i="20"/>
  <c r="AF325" i="20"/>
  <c r="AI323" i="20"/>
  <c r="AH323" i="20"/>
  <c r="AG323" i="20"/>
  <c r="AF323" i="20"/>
  <c r="AI321" i="20"/>
  <c r="AH321" i="20"/>
  <c r="AG321" i="20"/>
  <c r="AF321" i="20"/>
  <c r="AI316" i="20"/>
  <c r="AH316" i="20"/>
  <c r="AG316" i="20"/>
  <c r="AF316" i="20"/>
  <c r="AI313" i="20"/>
  <c r="AH313" i="20"/>
  <c r="AG313" i="20"/>
  <c r="AF313" i="20"/>
  <c r="AI310" i="20"/>
  <c r="AI309" i="20" s="1"/>
  <c r="AI308" i="20" s="1"/>
  <c r="AH310" i="20"/>
  <c r="AH309" i="20" s="1"/>
  <c r="AH308" i="20" s="1"/>
  <c r="AG310" i="20"/>
  <c r="AG309" i="20" s="1"/>
  <c r="AG308" i="20" s="1"/>
  <c r="AF310" i="20"/>
  <c r="AF309" i="20" s="1"/>
  <c r="AF308" i="20" s="1"/>
  <c r="AI305" i="20"/>
  <c r="AI304" i="20" s="1"/>
  <c r="AI303" i="20" s="1"/>
  <c r="AH305" i="20"/>
  <c r="AH304" i="20" s="1"/>
  <c r="AH303" i="20" s="1"/>
  <c r="AG305" i="20"/>
  <c r="AG304" i="20" s="1"/>
  <c r="AG303" i="20" s="1"/>
  <c r="AF305" i="20"/>
  <c r="AF304" i="20" s="1"/>
  <c r="AF303" i="20" s="1"/>
  <c r="AI295" i="20"/>
  <c r="AH295" i="20"/>
  <c r="AG295" i="20"/>
  <c r="AF295" i="20"/>
  <c r="AI292" i="20"/>
  <c r="AH292" i="20"/>
  <c r="AG292" i="20"/>
  <c r="AF292" i="20"/>
  <c r="AI284" i="20"/>
  <c r="AI283" i="20" s="1"/>
  <c r="AI282" i="20" s="1"/>
  <c r="AH284" i="20"/>
  <c r="AH283" i="20" s="1"/>
  <c r="AH282" i="20" s="1"/>
  <c r="AG284" i="20"/>
  <c r="AG283" i="20" s="1"/>
  <c r="AG282" i="20" s="1"/>
  <c r="AF284" i="20"/>
  <c r="AF283" i="20" s="1"/>
  <c r="AF282" i="20" s="1"/>
  <c r="AI279" i="20"/>
  <c r="AI278" i="20" s="1"/>
  <c r="AI277" i="20" s="1"/>
  <c r="AH279" i="20"/>
  <c r="AH278" i="20" s="1"/>
  <c r="AH277" i="20" s="1"/>
  <c r="AG279" i="20"/>
  <c r="AG278" i="20" s="1"/>
  <c r="AG277" i="20" s="1"/>
  <c r="AF279" i="20"/>
  <c r="AF278" i="20" s="1"/>
  <c r="AF277" i="20" s="1"/>
  <c r="AI275" i="20"/>
  <c r="AI274" i="20" s="1"/>
  <c r="AH275" i="20"/>
  <c r="AH274" i="20" s="1"/>
  <c r="AG275" i="20"/>
  <c r="AG274" i="20" s="1"/>
  <c r="AF275" i="20"/>
  <c r="AF274" i="20" s="1"/>
  <c r="AI272" i="20"/>
  <c r="AH272" i="20"/>
  <c r="AG272" i="20"/>
  <c r="AF272" i="20"/>
  <c r="AI267" i="20"/>
  <c r="AI266" i="20" s="1"/>
  <c r="AI265" i="20" s="1"/>
  <c r="AH267" i="20"/>
  <c r="AH266" i="20" s="1"/>
  <c r="AH265" i="20" s="1"/>
  <c r="AG267" i="20"/>
  <c r="AG266" i="20" s="1"/>
  <c r="AG265" i="20" s="1"/>
  <c r="AF267" i="20"/>
  <c r="AF266" i="20" s="1"/>
  <c r="AF265" i="20" s="1"/>
  <c r="AI259" i="20"/>
  <c r="AH259" i="20"/>
  <c r="AG259" i="20"/>
  <c r="AF259" i="20"/>
  <c r="AI250" i="20"/>
  <c r="AH250" i="20"/>
  <c r="AG250" i="20"/>
  <c r="AF250" i="20"/>
  <c r="AI242" i="20"/>
  <c r="AH242" i="20"/>
  <c r="AG242" i="20"/>
  <c r="AF242" i="20"/>
  <c r="AI234" i="20"/>
  <c r="AH234" i="20"/>
  <c r="AG234" i="20"/>
  <c r="AF234" i="20"/>
  <c r="AI231" i="20"/>
  <c r="AH231" i="20"/>
  <c r="AG231" i="20"/>
  <c r="AF231" i="20"/>
  <c r="AI228" i="20"/>
  <c r="AI227" i="20" s="1"/>
  <c r="AH228" i="20"/>
  <c r="AH227" i="20" s="1"/>
  <c r="AG228" i="20"/>
  <c r="AG227" i="20" s="1"/>
  <c r="AF228" i="20"/>
  <c r="AF227" i="20" s="1"/>
  <c r="AI225" i="20"/>
  <c r="AH225" i="20"/>
  <c r="AG225" i="20"/>
  <c r="AF225" i="20"/>
  <c r="AI222" i="20"/>
  <c r="AH222" i="20"/>
  <c r="AG222" i="20"/>
  <c r="AF222" i="20"/>
  <c r="AI218" i="20"/>
  <c r="AI217" i="20" s="1"/>
  <c r="AH218" i="20"/>
  <c r="AH217" i="20" s="1"/>
  <c r="AG218" i="20"/>
  <c r="AG217" i="20" s="1"/>
  <c r="AF218" i="20"/>
  <c r="AF217" i="20" s="1"/>
  <c r="AI215" i="20"/>
  <c r="AI214" i="20" s="1"/>
  <c r="AH215" i="20"/>
  <c r="AH214" i="20" s="1"/>
  <c r="AG215" i="20"/>
  <c r="AG214" i="20" s="1"/>
  <c r="AF215" i="20"/>
  <c r="AF214" i="20" s="1"/>
  <c r="AI212" i="20"/>
  <c r="AI211" i="20" s="1"/>
  <c r="AH212" i="20"/>
  <c r="AH211" i="20" s="1"/>
  <c r="AG212" i="20"/>
  <c r="AG211" i="20" s="1"/>
  <c r="AF212" i="20"/>
  <c r="AF211" i="20" s="1"/>
  <c r="AI205" i="20"/>
  <c r="AH205" i="20"/>
  <c r="AG205" i="20"/>
  <c r="AF205" i="20"/>
  <c r="AI203" i="20"/>
  <c r="AI202" i="20" s="1"/>
  <c r="AH203" i="20"/>
  <c r="AH202" i="20" s="1"/>
  <c r="AG203" i="20"/>
  <c r="AG202" i="20" s="1"/>
  <c r="AF203" i="20"/>
  <c r="AF202" i="20" s="1"/>
  <c r="AI199" i="20"/>
  <c r="AI198" i="20" s="1"/>
  <c r="AH199" i="20"/>
  <c r="AH198" i="20" s="1"/>
  <c r="AG199" i="20"/>
  <c r="AG198" i="20" s="1"/>
  <c r="AF199" i="20"/>
  <c r="AF198" i="20" s="1"/>
  <c r="AI196" i="20"/>
  <c r="AI195" i="20" s="1"/>
  <c r="AH196" i="20"/>
  <c r="AH195" i="20" s="1"/>
  <c r="AG196" i="20"/>
  <c r="AG195" i="20" s="1"/>
  <c r="AF196" i="20"/>
  <c r="AF195" i="20" s="1"/>
  <c r="AI192" i="20"/>
  <c r="AI191" i="20" s="1"/>
  <c r="AH192" i="20"/>
  <c r="AH191" i="20" s="1"/>
  <c r="AG192" i="20"/>
  <c r="AG191" i="20" s="1"/>
  <c r="AF192" i="20"/>
  <c r="AF191" i="20" s="1"/>
  <c r="AI183" i="20"/>
  <c r="AH183" i="20"/>
  <c r="AG183" i="20"/>
  <c r="AF183" i="20"/>
  <c r="AI179" i="20"/>
  <c r="AH179" i="20"/>
  <c r="AG179" i="20"/>
  <c r="AF179" i="20"/>
  <c r="AI177" i="20"/>
  <c r="AI176" i="20" s="1"/>
  <c r="AI175" i="20" s="1"/>
  <c r="AH177" i="20"/>
  <c r="AG177" i="20"/>
  <c r="AF177" i="20"/>
  <c r="AI171" i="20"/>
  <c r="AI170" i="20" s="1"/>
  <c r="AH171" i="20"/>
  <c r="AH170" i="20" s="1"/>
  <c r="AG171" i="20"/>
  <c r="AG170" i="20" s="1"/>
  <c r="AF171" i="20"/>
  <c r="AF170" i="20" s="1"/>
  <c r="AI168" i="20"/>
  <c r="AH168" i="20"/>
  <c r="AG168" i="20"/>
  <c r="AF168" i="20"/>
  <c r="AI165" i="20"/>
  <c r="AH165" i="20"/>
  <c r="AG165" i="20"/>
  <c r="AF165" i="20"/>
  <c r="AI162" i="20"/>
  <c r="AH162" i="20"/>
  <c r="AG162" i="20"/>
  <c r="AF162" i="20"/>
  <c r="AI154" i="20"/>
  <c r="AH154" i="20"/>
  <c r="AG154" i="20"/>
  <c r="AF154" i="20"/>
  <c r="AI152" i="20"/>
  <c r="AH152" i="20"/>
  <c r="AG152" i="20"/>
  <c r="AF152" i="20"/>
  <c r="AI122" i="20"/>
  <c r="AH122" i="20"/>
  <c r="AG122" i="20"/>
  <c r="AF122" i="20"/>
  <c r="AI114" i="20"/>
  <c r="AH114" i="20"/>
  <c r="AG114" i="20"/>
  <c r="AF114" i="20"/>
  <c r="AI111" i="20"/>
  <c r="AH111" i="20"/>
  <c r="AG111" i="20"/>
  <c r="AF111"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74" i="20"/>
  <c r="AE373" i="20" s="1"/>
  <c r="AD374" i="20"/>
  <c r="AD373" i="20" s="1"/>
  <c r="AC374" i="20"/>
  <c r="AC373" i="20" s="1"/>
  <c r="AB374" i="20"/>
  <c r="AB373" i="20" s="1"/>
  <c r="AE336" i="20"/>
  <c r="AE335" i="20" s="1"/>
  <c r="AD336" i="20"/>
  <c r="AD335" i="20" s="1"/>
  <c r="AC336" i="20"/>
  <c r="AC335" i="20" s="1"/>
  <c r="AB336" i="20"/>
  <c r="AB335" i="20" s="1"/>
  <c r="AE330" i="20"/>
  <c r="AD330" i="20"/>
  <c r="AC330" i="20"/>
  <c r="AB330" i="20"/>
  <c r="AE327" i="20"/>
  <c r="AD327" i="20"/>
  <c r="AC327" i="20"/>
  <c r="AB327" i="20"/>
  <c r="AE325" i="20"/>
  <c r="AD325" i="20"/>
  <c r="AC325" i="20"/>
  <c r="AB325" i="20"/>
  <c r="AE323" i="20"/>
  <c r="AD323" i="20"/>
  <c r="AC323" i="20"/>
  <c r="AB323" i="20"/>
  <c r="AE321" i="20"/>
  <c r="AD321" i="20"/>
  <c r="AC321" i="20"/>
  <c r="AB321" i="20"/>
  <c r="AE316" i="20"/>
  <c r="AD316" i="20"/>
  <c r="AC316" i="20"/>
  <c r="AB316" i="20"/>
  <c r="AE313" i="20"/>
  <c r="AD313" i="20"/>
  <c r="AC313" i="20"/>
  <c r="AB313" i="20"/>
  <c r="AE310" i="20"/>
  <c r="AE309" i="20" s="1"/>
  <c r="AE308" i="20" s="1"/>
  <c r="AD310" i="20"/>
  <c r="AD309" i="20" s="1"/>
  <c r="AD308" i="20" s="1"/>
  <c r="AC310" i="20"/>
  <c r="AC309" i="20" s="1"/>
  <c r="AC308" i="20" s="1"/>
  <c r="AB310" i="20"/>
  <c r="AB309" i="20" s="1"/>
  <c r="AB308" i="20" s="1"/>
  <c r="AE305" i="20"/>
  <c r="AE304" i="20" s="1"/>
  <c r="AE303" i="20" s="1"/>
  <c r="AD305" i="20"/>
  <c r="AD304" i="20" s="1"/>
  <c r="AD303" i="20" s="1"/>
  <c r="AC305" i="20"/>
  <c r="AC304" i="20" s="1"/>
  <c r="AC303" i="20" s="1"/>
  <c r="AB305" i="20"/>
  <c r="AB304" i="20" s="1"/>
  <c r="AB303" i="20" s="1"/>
  <c r="AE295" i="20"/>
  <c r="AD295" i="20"/>
  <c r="AC295" i="20"/>
  <c r="AB295" i="20"/>
  <c r="AE292" i="20"/>
  <c r="AD292" i="20"/>
  <c r="AC292" i="20"/>
  <c r="AB292" i="20"/>
  <c r="AE284" i="20"/>
  <c r="AE283" i="20" s="1"/>
  <c r="AE282" i="20" s="1"/>
  <c r="AD284" i="20"/>
  <c r="AD283" i="20" s="1"/>
  <c r="AD282" i="20" s="1"/>
  <c r="AC284" i="20"/>
  <c r="AC283" i="20" s="1"/>
  <c r="AC282" i="20" s="1"/>
  <c r="AB284" i="20"/>
  <c r="AB283" i="20" s="1"/>
  <c r="AB282" i="20" s="1"/>
  <c r="AE279" i="20"/>
  <c r="AE278" i="20" s="1"/>
  <c r="AE277" i="20" s="1"/>
  <c r="AD279" i="20"/>
  <c r="AD278" i="20" s="1"/>
  <c r="AD277" i="20" s="1"/>
  <c r="AC279" i="20"/>
  <c r="AC278" i="20" s="1"/>
  <c r="AC277" i="20" s="1"/>
  <c r="AB279" i="20"/>
  <c r="AB278" i="20" s="1"/>
  <c r="AB277" i="20" s="1"/>
  <c r="AE275" i="20"/>
  <c r="AE274" i="20" s="1"/>
  <c r="AD275" i="20"/>
  <c r="AD274" i="20" s="1"/>
  <c r="AC275" i="20"/>
  <c r="AC274" i="20" s="1"/>
  <c r="AB275" i="20"/>
  <c r="AB274" i="20" s="1"/>
  <c r="AE272" i="20"/>
  <c r="AD272" i="20"/>
  <c r="AC272" i="20"/>
  <c r="AB272" i="20"/>
  <c r="AE267" i="20"/>
  <c r="AE266" i="20" s="1"/>
  <c r="AE265" i="20" s="1"/>
  <c r="AD267" i="20"/>
  <c r="AD266" i="20" s="1"/>
  <c r="AD265" i="20" s="1"/>
  <c r="AC267" i="20"/>
  <c r="AC266" i="20" s="1"/>
  <c r="AC265" i="20" s="1"/>
  <c r="AB267" i="20"/>
  <c r="AB266" i="20" s="1"/>
  <c r="AB265" i="20" s="1"/>
  <c r="AE259" i="20"/>
  <c r="AD259" i="20"/>
  <c r="AC259" i="20"/>
  <c r="AB259" i="20"/>
  <c r="AE250" i="20"/>
  <c r="AD250" i="20"/>
  <c r="AC250" i="20"/>
  <c r="AB250" i="20"/>
  <c r="AE242" i="20"/>
  <c r="AD242" i="20"/>
  <c r="AC242" i="20"/>
  <c r="AB242" i="20"/>
  <c r="AE234" i="20"/>
  <c r="AD234" i="20"/>
  <c r="AC234" i="20"/>
  <c r="AB234" i="20"/>
  <c r="AE231" i="20"/>
  <c r="AD231" i="20"/>
  <c r="AC231" i="20"/>
  <c r="AB231" i="20"/>
  <c r="AE228" i="20"/>
  <c r="AE227" i="20" s="1"/>
  <c r="AD228" i="20"/>
  <c r="AD227" i="20" s="1"/>
  <c r="AC228" i="20"/>
  <c r="AC227" i="20" s="1"/>
  <c r="AB228" i="20"/>
  <c r="AB227" i="20" s="1"/>
  <c r="AE225" i="20"/>
  <c r="AD225" i="20"/>
  <c r="AC225" i="20"/>
  <c r="AB225" i="20"/>
  <c r="AE222" i="20"/>
  <c r="AD222" i="20"/>
  <c r="AC222" i="20"/>
  <c r="AB222" i="20"/>
  <c r="AE218" i="20"/>
  <c r="AE217" i="20" s="1"/>
  <c r="AD218" i="20"/>
  <c r="AD217" i="20" s="1"/>
  <c r="AC218" i="20"/>
  <c r="AC217" i="20" s="1"/>
  <c r="AB218" i="20"/>
  <c r="AB217" i="20" s="1"/>
  <c r="AE215" i="20"/>
  <c r="AE214" i="20" s="1"/>
  <c r="AD215" i="20"/>
  <c r="AD214" i="20" s="1"/>
  <c r="AC215" i="20"/>
  <c r="AC214" i="20" s="1"/>
  <c r="AB215" i="20"/>
  <c r="AB214" i="20" s="1"/>
  <c r="AE212" i="20"/>
  <c r="AE211" i="20" s="1"/>
  <c r="AD212" i="20"/>
  <c r="AD211" i="20" s="1"/>
  <c r="AC212" i="20"/>
  <c r="AC211" i="20" s="1"/>
  <c r="AB212" i="20"/>
  <c r="AB211" i="20" s="1"/>
  <c r="AE205" i="20"/>
  <c r="AD205" i="20"/>
  <c r="AC205" i="20"/>
  <c r="AB205" i="20"/>
  <c r="AE203" i="20"/>
  <c r="AE202" i="20" s="1"/>
  <c r="AD203" i="20"/>
  <c r="AD202" i="20" s="1"/>
  <c r="AC203" i="20"/>
  <c r="AC202" i="20" s="1"/>
  <c r="AB203" i="20"/>
  <c r="AB202" i="20" s="1"/>
  <c r="AE199" i="20"/>
  <c r="AE198" i="20" s="1"/>
  <c r="AD199" i="20"/>
  <c r="AD198" i="20" s="1"/>
  <c r="AC199" i="20"/>
  <c r="AC198" i="20" s="1"/>
  <c r="AB199" i="20"/>
  <c r="AB198" i="20" s="1"/>
  <c r="AE196" i="20"/>
  <c r="AE195" i="20" s="1"/>
  <c r="AD196" i="20"/>
  <c r="AD195" i="20" s="1"/>
  <c r="AC196" i="20"/>
  <c r="AC195" i="20" s="1"/>
  <c r="AB196" i="20"/>
  <c r="AB195" i="20" s="1"/>
  <c r="AE192" i="20"/>
  <c r="AE191" i="20" s="1"/>
  <c r="AD192" i="20"/>
  <c r="AD191" i="20" s="1"/>
  <c r="AC192" i="20"/>
  <c r="AC191" i="20" s="1"/>
  <c r="AB192" i="20"/>
  <c r="AB191" i="20" s="1"/>
  <c r="AE183" i="20"/>
  <c r="AD183" i="20"/>
  <c r="AC183" i="20"/>
  <c r="AB183" i="20"/>
  <c r="AE179" i="20"/>
  <c r="AD179" i="20"/>
  <c r="AC179" i="20"/>
  <c r="AB179" i="20"/>
  <c r="AE177" i="20"/>
  <c r="AD177" i="20"/>
  <c r="AD176" i="20" s="1"/>
  <c r="AD175" i="20" s="1"/>
  <c r="AC177" i="20"/>
  <c r="AC176" i="20" s="1"/>
  <c r="AC175" i="20" s="1"/>
  <c r="AB177" i="20"/>
  <c r="AB176" i="20" s="1"/>
  <c r="AB175" i="20" s="1"/>
  <c r="AE171" i="20"/>
  <c r="AE170" i="20" s="1"/>
  <c r="AD171" i="20"/>
  <c r="AD170" i="20" s="1"/>
  <c r="AC171" i="20"/>
  <c r="AC170" i="20" s="1"/>
  <c r="AB171" i="20"/>
  <c r="AB170" i="20" s="1"/>
  <c r="AE168" i="20"/>
  <c r="AD168" i="20"/>
  <c r="AC168" i="20"/>
  <c r="AB168" i="20"/>
  <c r="AE165" i="20"/>
  <c r="AD165" i="20"/>
  <c r="AC165" i="20"/>
  <c r="AB165" i="20"/>
  <c r="AE162" i="20"/>
  <c r="AD162" i="20"/>
  <c r="AC162" i="20"/>
  <c r="AB162" i="20"/>
  <c r="AE154" i="20"/>
  <c r="AD154" i="20"/>
  <c r="AC154" i="20"/>
  <c r="AB154" i="20"/>
  <c r="AE152" i="20"/>
  <c r="AD152" i="20"/>
  <c r="AC152" i="20"/>
  <c r="AB152" i="20"/>
  <c r="AE122" i="20"/>
  <c r="AD122" i="20"/>
  <c r="AC122" i="20"/>
  <c r="AB122" i="20"/>
  <c r="AE114" i="20"/>
  <c r="AD114" i="20"/>
  <c r="AC114" i="20"/>
  <c r="AB114" i="20"/>
  <c r="AE111" i="20"/>
  <c r="AD111" i="20"/>
  <c r="AC111" i="20"/>
  <c r="AB111"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74" i="20"/>
  <c r="AA373" i="20" s="1"/>
  <c r="Z374" i="20"/>
  <c r="Z373" i="20" s="1"/>
  <c r="AA336" i="20"/>
  <c r="AA335" i="20" s="1"/>
  <c r="Z336" i="20"/>
  <c r="Z335" i="20" s="1"/>
  <c r="AA330" i="20"/>
  <c r="Z330" i="20"/>
  <c r="AA327" i="20"/>
  <c r="Z327" i="20"/>
  <c r="AA325" i="20"/>
  <c r="Z325" i="20"/>
  <c r="AA323" i="20"/>
  <c r="Z323" i="20"/>
  <c r="AA321" i="20"/>
  <c r="Z321" i="20"/>
  <c r="AA316" i="20"/>
  <c r="Z316" i="20"/>
  <c r="AA313" i="20"/>
  <c r="Z313" i="20"/>
  <c r="AA310" i="20"/>
  <c r="AA309" i="20" s="1"/>
  <c r="AA308" i="20" s="1"/>
  <c r="Z310" i="20"/>
  <c r="Z309" i="20" s="1"/>
  <c r="Z308" i="20" s="1"/>
  <c r="AA305" i="20"/>
  <c r="AA304" i="20" s="1"/>
  <c r="AA303" i="20" s="1"/>
  <c r="Z305" i="20"/>
  <c r="Z304" i="20" s="1"/>
  <c r="Z303" i="20" s="1"/>
  <c r="AA295" i="20"/>
  <c r="Z295" i="20"/>
  <c r="AA292" i="20"/>
  <c r="Z292" i="20"/>
  <c r="AA284" i="20"/>
  <c r="AA283" i="20" s="1"/>
  <c r="AA282" i="20" s="1"/>
  <c r="Z284" i="20"/>
  <c r="Z283" i="20" s="1"/>
  <c r="Z282" i="20" s="1"/>
  <c r="AA279" i="20"/>
  <c r="AA278" i="20" s="1"/>
  <c r="AA277" i="20" s="1"/>
  <c r="Z279" i="20"/>
  <c r="Z278" i="20" s="1"/>
  <c r="Z277" i="20" s="1"/>
  <c r="AA275" i="20"/>
  <c r="AA274" i="20" s="1"/>
  <c r="Z275" i="20"/>
  <c r="Z274" i="20" s="1"/>
  <c r="AA272" i="20"/>
  <c r="Z272" i="20"/>
  <c r="AA267" i="20"/>
  <c r="AA266" i="20" s="1"/>
  <c r="AA265" i="20" s="1"/>
  <c r="Z267" i="20"/>
  <c r="Z266" i="20" s="1"/>
  <c r="Z265" i="20" s="1"/>
  <c r="AA259" i="20"/>
  <c r="Z259" i="20"/>
  <c r="AA250" i="20"/>
  <c r="Z250" i="20"/>
  <c r="AA242" i="20"/>
  <c r="Z242" i="20"/>
  <c r="AA234" i="20"/>
  <c r="Z234" i="20"/>
  <c r="AA231" i="20"/>
  <c r="Z231" i="20"/>
  <c r="AA228" i="20"/>
  <c r="AA227" i="20" s="1"/>
  <c r="Z228" i="20"/>
  <c r="Z227" i="20" s="1"/>
  <c r="AA225" i="20"/>
  <c r="Z225" i="20"/>
  <c r="AA222" i="20"/>
  <c r="Z222" i="20"/>
  <c r="AA218" i="20"/>
  <c r="AA217" i="20" s="1"/>
  <c r="Z218" i="20"/>
  <c r="Z217" i="20" s="1"/>
  <c r="AA215" i="20"/>
  <c r="AA214" i="20" s="1"/>
  <c r="Z215" i="20"/>
  <c r="Z214" i="20" s="1"/>
  <c r="AA212" i="20"/>
  <c r="AA211" i="20" s="1"/>
  <c r="Z212" i="20"/>
  <c r="Z211" i="20" s="1"/>
  <c r="AA205" i="20"/>
  <c r="Z205" i="20"/>
  <c r="AA203" i="20"/>
  <c r="AA202" i="20" s="1"/>
  <c r="Z203" i="20"/>
  <c r="Z202" i="20" s="1"/>
  <c r="AA199" i="20"/>
  <c r="AA198" i="20" s="1"/>
  <c r="Z199" i="20"/>
  <c r="Z198" i="20" s="1"/>
  <c r="AA196" i="20"/>
  <c r="AA195" i="20" s="1"/>
  <c r="Z196" i="20"/>
  <c r="Z195" i="20" s="1"/>
  <c r="AA192" i="20"/>
  <c r="AA191" i="20" s="1"/>
  <c r="Z192" i="20"/>
  <c r="Z191" i="20" s="1"/>
  <c r="AA183" i="20"/>
  <c r="Z183" i="20"/>
  <c r="AA179" i="20"/>
  <c r="Z179" i="20"/>
  <c r="AA177" i="20"/>
  <c r="Z177" i="20"/>
  <c r="AA171" i="20"/>
  <c r="AA170" i="20" s="1"/>
  <c r="Z171" i="20"/>
  <c r="Z170" i="20" s="1"/>
  <c r="AA168" i="20"/>
  <c r="Z168" i="20"/>
  <c r="AA165" i="20"/>
  <c r="Z165" i="20"/>
  <c r="AA162" i="20"/>
  <c r="Z162" i="20"/>
  <c r="AA154" i="20"/>
  <c r="Z154" i="20"/>
  <c r="AA152" i="20"/>
  <c r="Z152" i="20"/>
  <c r="AA122" i="20"/>
  <c r="Z122" i="20"/>
  <c r="AA114" i="20"/>
  <c r="Z114" i="20"/>
  <c r="AA111" i="20"/>
  <c r="Z111"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74" i="20"/>
  <c r="Y373" i="20" s="1"/>
  <c r="Y336" i="20"/>
  <c r="Y335" i="20" s="1"/>
  <c r="Y330" i="20"/>
  <c r="Y327" i="20"/>
  <c r="Y325" i="20"/>
  <c r="Y323" i="20"/>
  <c r="Y321" i="20"/>
  <c r="Y316" i="20"/>
  <c r="Y313" i="20"/>
  <c r="Y310" i="20"/>
  <c r="Y309" i="20" s="1"/>
  <c r="Y308" i="20" s="1"/>
  <c r="Y305" i="20"/>
  <c r="Y304" i="20" s="1"/>
  <c r="Y303" i="20" s="1"/>
  <c r="Y295" i="20"/>
  <c r="Y292" i="20"/>
  <c r="Y284" i="20"/>
  <c r="Y283" i="20" s="1"/>
  <c r="Y282" i="20" s="1"/>
  <c r="Y279" i="20"/>
  <c r="Y278" i="20" s="1"/>
  <c r="Y277" i="20" s="1"/>
  <c r="Y275" i="20"/>
  <c r="Y274" i="20" s="1"/>
  <c r="Y272" i="20"/>
  <c r="Y267" i="20"/>
  <c r="Y266" i="20" s="1"/>
  <c r="Y265" i="20" s="1"/>
  <c r="Y259" i="20"/>
  <c r="Y250" i="20"/>
  <c r="Y242" i="20"/>
  <c r="Y234" i="20"/>
  <c r="Y231" i="20"/>
  <c r="Y228" i="20"/>
  <c r="Y227" i="20" s="1"/>
  <c r="Y225" i="20"/>
  <c r="Y222" i="20"/>
  <c r="Y218" i="20"/>
  <c r="Y217" i="20" s="1"/>
  <c r="Y215" i="20"/>
  <c r="Y214" i="20" s="1"/>
  <c r="Y212" i="20"/>
  <c r="Y211" i="20" s="1"/>
  <c r="Y205" i="20"/>
  <c r="Y203" i="20"/>
  <c r="Y202" i="20" s="1"/>
  <c r="Y199" i="20"/>
  <c r="Y198" i="20" s="1"/>
  <c r="Y196" i="20"/>
  <c r="Y195" i="20" s="1"/>
  <c r="Y192" i="20"/>
  <c r="Y191" i="20" s="1"/>
  <c r="Y183" i="20"/>
  <c r="Y179" i="20"/>
  <c r="Y177" i="20"/>
  <c r="Y171" i="20"/>
  <c r="Y170" i="20" s="1"/>
  <c r="Y168" i="20"/>
  <c r="Y165" i="20"/>
  <c r="Y162" i="20"/>
  <c r="Y154" i="20"/>
  <c r="Y152" i="20"/>
  <c r="Y122" i="20"/>
  <c r="Y114" i="20"/>
  <c r="Y111"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74" i="20"/>
  <c r="X373" i="20" s="1"/>
  <c r="X336" i="20"/>
  <c r="X335" i="20" s="1"/>
  <c r="X330" i="20"/>
  <c r="X327" i="20"/>
  <c r="X325" i="20"/>
  <c r="X323" i="20"/>
  <c r="X321" i="20"/>
  <c r="X316" i="20"/>
  <c r="X313" i="20"/>
  <c r="X310" i="20"/>
  <c r="X309" i="20" s="1"/>
  <c r="X308" i="20" s="1"/>
  <c r="X305" i="20"/>
  <c r="X304" i="20" s="1"/>
  <c r="X303" i="20" s="1"/>
  <c r="X295" i="20"/>
  <c r="X292" i="20"/>
  <c r="X284" i="20"/>
  <c r="X283" i="20" s="1"/>
  <c r="X282" i="20" s="1"/>
  <c r="X279" i="20"/>
  <c r="X278" i="20" s="1"/>
  <c r="X277" i="20" s="1"/>
  <c r="X275" i="20"/>
  <c r="X274" i="20" s="1"/>
  <c r="X272" i="20"/>
  <c r="X267" i="20"/>
  <c r="X266" i="20" s="1"/>
  <c r="X265" i="20" s="1"/>
  <c r="X259" i="20"/>
  <c r="X250" i="20"/>
  <c r="X242" i="20"/>
  <c r="X234" i="20"/>
  <c r="X231" i="20"/>
  <c r="X228" i="20"/>
  <c r="X227" i="20" s="1"/>
  <c r="X225" i="20"/>
  <c r="X222" i="20"/>
  <c r="X218" i="20"/>
  <c r="X217" i="20" s="1"/>
  <c r="X215" i="20"/>
  <c r="X214" i="20" s="1"/>
  <c r="X212" i="20"/>
  <c r="X211" i="20" s="1"/>
  <c r="X205" i="20"/>
  <c r="X203" i="20"/>
  <c r="X202" i="20" s="1"/>
  <c r="X199" i="20"/>
  <c r="X198" i="20" s="1"/>
  <c r="X196" i="20"/>
  <c r="X195" i="20" s="1"/>
  <c r="X192" i="20"/>
  <c r="X191" i="20" s="1"/>
  <c r="X183" i="20"/>
  <c r="X179" i="20"/>
  <c r="X177" i="20"/>
  <c r="X171" i="20"/>
  <c r="X170" i="20" s="1"/>
  <c r="X168" i="20"/>
  <c r="X165" i="20"/>
  <c r="X162" i="20"/>
  <c r="X154" i="20"/>
  <c r="X152" i="20"/>
  <c r="X122" i="20"/>
  <c r="X114" i="20"/>
  <c r="X111"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6" i="20" l="1"/>
  <c r="AE175" i="20" s="1"/>
  <c r="AF176" i="20"/>
  <c r="AF175" i="20" s="1"/>
  <c r="AG176" i="20"/>
  <c r="AG175" i="20" s="1"/>
  <c r="AH176" i="20"/>
  <c r="AH175" i="20" s="1"/>
  <c r="X176" i="20"/>
  <c r="X175" i="20" s="1"/>
  <c r="Z176" i="20"/>
  <c r="Z175" i="20" s="1"/>
  <c r="Y176" i="20"/>
  <c r="Y175" i="20" s="1"/>
  <c r="AA176" i="20"/>
  <c r="AA175" i="20" s="1"/>
  <c r="AD320" i="20"/>
  <c r="AD319" i="20" s="1"/>
  <c r="AD318" i="20" s="1"/>
  <c r="AH98" i="20"/>
  <c r="AH320" i="20"/>
  <c r="AH319" i="20" s="1"/>
  <c r="AH318" i="20" s="1"/>
  <c r="Z70" i="20"/>
  <c r="AE291" i="20"/>
  <c r="AE281" i="20" s="1"/>
  <c r="AH57" i="20"/>
  <c r="AH110" i="20"/>
  <c r="AH109" i="20" s="1"/>
  <c r="AC161" i="20"/>
  <c r="AF33" i="20"/>
  <c r="AF32" i="20" s="1"/>
  <c r="AF291" i="20"/>
  <c r="AF281" i="20" s="1"/>
  <c r="AB230" i="20"/>
  <c r="AI33" i="20"/>
  <c r="AI32" i="20" s="1"/>
  <c r="AD98" i="20"/>
  <c r="AD241" i="20"/>
  <c r="AD240" i="20" s="1"/>
  <c r="AB110" i="20"/>
  <c r="AB109" i="20" s="1"/>
  <c r="AE221" i="20"/>
  <c r="AE210" i="20" s="1"/>
  <c r="AE230" i="20"/>
  <c r="AH33" i="20"/>
  <c r="AH32" i="20" s="1"/>
  <c r="AH52" i="20"/>
  <c r="AC98" i="20"/>
  <c r="AE98" i="20"/>
  <c r="AG92" i="20"/>
  <c r="AG75" i="20" s="1"/>
  <c r="AA230" i="20"/>
  <c r="Z62" i="20"/>
  <c r="Y46" i="20"/>
  <c r="AC241" i="20"/>
  <c r="AC240" i="20" s="1"/>
  <c r="AH230" i="20"/>
  <c r="AE110" i="20"/>
  <c r="AE109" i="20" s="1"/>
  <c r="AI92" i="20"/>
  <c r="AI75" i="20" s="1"/>
  <c r="AH291" i="20"/>
  <c r="AH281" i="20" s="1"/>
  <c r="Y70" i="20"/>
  <c r="AH161" i="20"/>
  <c r="AC221" i="20"/>
  <c r="AC210" i="20" s="1"/>
  <c r="AD221" i="20"/>
  <c r="AD210" i="20" s="1"/>
  <c r="AC230" i="20"/>
  <c r="Z10" i="20"/>
  <c r="Z9" i="20" s="1"/>
  <c r="Z8" i="20" s="1"/>
  <c r="Z57" i="20"/>
  <c r="AD230" i="20"/>
  <c r="Y230" i="20"/>
  <c r="AG57" i="20"/>
  <c r="AC92" i="20"/>
  <c r="AC75" i="20" s="1"/>
  <c r="AI46" i="20"/>
  <c r="AH167" i="20"/>
  <c r="AD92" i="20"/>
  <c r="AD75" i="20" s="1"/>
  <c r="AE70" i="20"/>
  <c r="AE92" i="20"/>
  <c r="AE75" i="20" s="1"/>
  <c r="AG33" i="20"/>
  <c r="AG32" i="20" s="1"/>
  <c r="AG52" i="20"/>
  <c r="AI291" i="20"/>
  <c r="AI281" i="20" s="1"/>
  <c r="Y52" i="20"/>
  <c r="AI52" i="20"/>
  <c r="AG230" i="20"/>
  <c r="Y57" i="20"/>
  <c r="Z167" i="20"/>
  <c r="Z230" i="20"/>
  <c r="AE10" i="20"/>
  <c r="AE9" i="20" s="1"/>
  <c r="AE8" i="20" s="1"/>
  <c r="AA70" i="20"/>
  <c r="AA167" i="20"/>
  <c r="AD291" i="20"/>
  <c r="AD281" i="20" s="1"/>
  <c r="AA312" i="20"/>
  <c r="AC57" i="20"/>
  <c r="AC167" i="20"/>
  <c r="AE334" i="20"/>
  <c r="AE333" i="20" s="1"/>
  <c r="AE332" i="20" s="1"/>
  <c r="AD33" i="20"/>
  <c r="AD32" i="20" s="1"/>
  <c r="AD52" i="20"/>
  <c r="AD62" i="20"/>
  <c r="AD121" i="20"/>
  <c r="AD120" i="20" s="1"/>
  <c r="AD161" i="20"/>
  <c r="AD167" i="20"/>
  <c r="AA62" i="20"/>
  <c r="AE33" i="20"/>
  <c r="AE32" i="20" s="1"/>
  <c r="AE52" i="20"/>
  <c r="AE121" i="20"/>
  <c r="AE120" i="20" s="1"/>
  <c r="AE167" i="20"/>
  <c r="X230" i="20"/>
  <c r="AE320" i="20"/>
  <c r="AE319" i="20" s="1"/>
  <c r="AE318" i="20" s="1"/>
  <c r="AH70" i="20"/>
  <c r="AF92" i="20"/>
  <c r="AF75" i="20" s="1"/>
  <c r="AF167" i="20"/>
  <c r="AC70" i="20"/>
  <c r="AI230" i="20"/>
  <c r="X312" i="20"/>
  <c r="Y62" i="20"/>
  <c r="AD46" i="20"/>
  <c r="AB92" i="20"/>
  <c r="AB75" i="20" s="1"/>
  <c r="AD110" i="20"/>
  <c r="AD109" i="20" s="1"/>
  <c r="AB241" i="20"/>
  <c r="AB240" i="20" s="1"/>
  <c r="AB291" i="20"/>
  <c r="AB281" i="20" s="1"/>
  <c r="AC320" i="20"/>
  <c r="AC319" i="20" s="1"/>
  <c r="AC318" i="20" s="1"/>
  <c r="AH92" i="20"/>
  <c r="AH75" i="20" s="1"/>
  <c r="Y33" i="20"/>
  <c r="Y32" i="20" s="1"/>
  <c r="AH312" i="20"/>
  <c r="AI10" i="20"/>
  <c r="AI9" i="20" s="1"/>
  <c r="AI8" i="20" s="1"/>
  <c r="Z190" i="20"/>
  <c r="AB167" i="20"/>
  <c r="AD271" i="20"/>
  <c r="AD270" i="20" s="1"/>
  <c r="AD269" i="20" s="1"/>
  <c r="AC334" i="20"/>
  <c r="AC333" i="20" s="1"/>
  <c r="AC332" i="20" s="1"/>
  <c r="AG46" i="20"/>
  <c r="AF70" i="20"/>
  <c r="AH121" i="20"/>
  <c r="AH120" i="20" s="1"/>
  <c r="AG161" i="20"/>
  <c r="AG221" i="20"/>
  <c r="AG210" i="20" s="1"/>
  <c r="AI241" i="20"/>
  <c r="AI240" i="20" s="1"/>
  <c r="AI312" i="20"/>
  <c r="AA190" i="20"/>
  <c r="AC62" i="20"/>
  <c r="AE271" i="20"/>
  <c r="AE270" i="20" s="1"/>
  <c r="AE269" i="20" s="1"/>
  <c r="AC312" i="20"/>
  <c r="AD334" i="20"/>
  <c r="AD333" i="20" s="1"/>
  <c r="AD332" i="20" s="1"/>
  <c r="AH46" i="20"/>
  <c r="AH62" i="20"/>
  <c r="AG70" i="20"/>
  <c r="AF98" i="20"/>
  <c r="AI110" i="20"/>
  <c r="AI109" i="20" s="1"/>
  <c r="AI121" i="20"/>
  <c r="AI120" i="20" s="1"/>
  <c r="AH221" i="20"/>
  <c r="AH210" i="20" s="1"/>
  <c r="AD57" i="20"/>
  <c r="AC110" i="20"/>
  <c r="AC109" i="20" s="1"/>
  <c r="AB121" i="20"/>
  <c r="AB120" i="20" s="1"/>
  <c r="AC291" i="20"/>
  <c r="AC281" i="20" s="1"/>
  <c r="AD312" i="20"/>
  <c r="AI62" i="20"/>
  <c r="AI161" i="20"/>
  <c r="AI221" i="20"/>
  <c r="AI210" i="20" s="1"/>
  <c r="AA57" i="20"/>
  <c r="Z320" i="20"/>
  <c r="Z319" i="20" s="1"/>
  <c r="Z318" i="20" s="1"/>
  <c r="AB33" i="20"/>
  <c r="AB32" i="20" s="1"/>
  <c r="AE57" i="20"/>
  <c r="AC121" i="20"/>
  <c r="AC120" i="20" s="1"/>
  <c r="AE312" i="20"/>
  <c r="AF57" i="20"/>
  <c r="AI70" i="20"/>
  <c r="AC33" i="20"/>
  <c r="AC32" i="20" s="1"/>
  <c r="AC52" i="20"/>
  <c r="AB161" i="20"/>
  <c r="AF271" i="20"/>
  <c r="AF270" i="20" s="1"/>
  <c r="AF269" i="20" s="1"/>
  <c r="AG271" i="20"/>
  <c r="AG270" i="20" s="1"/>
  <c r="AG269" i="20" s="1"/>
  <c r="Z271" i="20"/>
  <c r="Z270" i="20" s="1"/>
  <c r="Z269" i="20" s="1"/>
  <c r="AH271" i="20"/>
  <c r="AH270" i="20" s="1"/>
  <c r="AH269" i="20" s="1"/>
  <c r="X92" i="20"/>
  <c r="X75" i="20" s="1"/>
  <c r="Y110" i="20"/>
  <c r="Y109" i="20" s="1"/>
  <c r="AC46" i="20"/>
  <c r="AB70" i="20"/>
  <c r="AI98" i="20"/>
  <c r="AE241" i="20"/>
  <c r="AE240" i="20" s="1"/>
  <c r="AF241" i="20"/>
  <c r="AF240" i="20" s="1"/>
  <c r="AF312" i="20"/>
  <c r="AI320" i="20"/>
  <c r="AI319" i="20" s="1"/>
  <c r="AI318" i="20" s="1"/>
  <c r="Y221" i="20"/>
  <c r="Y210" i="20" s="1"/>
  <c r="AE46" i="20"/>
  <c r="AD70" i="20"/>
  <c r="AB271" i="20"/>
  <c r="AB270" i="20" s="1"/>
  <c r="AB269" i="20" s="1"/>
  <c r="AB320" i="20"/>
  <c r="AB319" i="20" s="1"/>
  <c r="AB318" i="20" s="1"/>
  <c r="AF110" i="20"/>
  <c r="AF109" i="20" s="1"/>
  <c r="AG241" i="20"/>
  <c r="AG240" i="20" s="1"/>
  <c r="AG291" i="20"/>
  <c r="AG281" i="20" s="1"/>
  <c r="AG312" i="20"/>
  <c r="AA33" i="20"/>
  <c r="AA32" i="20" s="1"/>
  <c r="AA52" i="20"/>
  <c r="Z312" i="20"/>
  <c r="AE62" i="20"/>
  <c r="AE161" i="20"/>
  <c r="AC271" i="20"/>
  <c r="AC270" i="20" s="1"/>
  <c r="AC269" i="20" s="1"/>
  <c r="AF46" i="20"/>
  <c r="AF62" i="20"/>
  <c r="AG110" i="20"/>
  <c r="AG109" i="20" s="1"/>
  <c r="AG121" i="20"/>
  <c r="AG120" i="20" s="1"/>
  <c r="AF161" i="20"/>
  <c r="AF221" i="20"/>
  <c r="AF210" i="20" s="1"/>
  <c r="AH241" i="20"/>
  <c r="AH240" i="20" s="1"/>
  <c r="AG320" i="20"/>
  <c r="AG319" i="20" s="1"/>
  <c r="AG318" i="20" s="1"/>
  <c r="AA10" i="20"/>
  <c r="AA9" i="20" s="1"/>
  <c r="AA8" i="20" s="1"/>
  <c r="Z334" i="20"/>
  <c r="Z333" i="20" s="1"/>
  <c r="Z332" i="20" s="1"/>
  <c r="AA334" i="20"/>
  <c r="AA333" i="20" s="1"/>
  <c r="AA332" i="20" s="1"/>
  <c r="AH10" i="20"/>
  <c r="AH9" i="20" s="1"/>
  <c r="AH8" i="20" s="1"/>
  <c r="AH190" i="20"/>
  <c r="AC190" i="20"/>
  <c r="AI190" i="20"/>
  <c r="AA271" i="20"/>
  <c r="AA270" i="20" s="1"/>
  <c r="AA269" i="20" s="1"/>
  <c r="AF10" i="20"/>
  <c r="AF9" i="20" s="1"/>
  <c r="AF8" i="20" s="1"/>
  <c r="AI271" i="20"/>
  <c r="AI270" i="20" s="1"/>
  <c r="AI269" i="20" s="1"/>
  <c r="AH334" i="20"/>
  <c r="AH333" i="20" s="1"/>
  <c r="AH332" i="20" s="1"/>
  <c r="AD10" i="20"/>
  <c r="AD9" i="20" s="1"/>
  <c r="AD8" i="20" s="1"/>
  <c r="AG167" i="20"/>
  <c r="AG190" i="20"/>
  <c r="AD190" i="20"/>
  <c r="AI167" i="20"/>
  <c r="AE190" i="20"/>
  <c r="AI334" i="20"/>
  <c r="AI333" i="20" s="1"/>
  <c r="AI332" i="20" s="1"/>
  <c r="X110" i="20"/>
  <c r="X109" i="20" s="1"/>
  <c r="Y241" i="20"/>
  <c r="Y240" i="20" s="1"/>
  <c r="AA121" i="20"/>
  <c r="AA120" i="20" s="1"/>
  <c r="AA221" i="20"/>
  <c r="AA210" i="20" s="1"/>
  <c r="AA291" i="20"/>
  <c r="AA281" i="20" s="1"/>
  <c r="AB52" i="20"/>
  <c r="AB334" i="20"/>
  <c r="AB333" i="20" s="1"/>
  <c r="AB332" i="20" s="1"/>
  <c r="Y190" i="20"/>
  <c r="Z98" i="20"/>
  <c r="Z241" i="20"/>
  <c r="Z240" i="20" s="1"/>
  <c r="AB46" i="20"/>
  <c r="AF121" i="20"/>
  <c r="AF120" i="20" s="1"/>
  <c r="Y121" i="20"/>
  <c r="Y120" i="20" s="1"/>
  <c r="Y271" i="20"/>
  <c r="Y270" i="20" s="1"/>
  <c r="Y269" i="20" s="1"/>
  <c r="Y312" i="20"/>
  <c r="Z33" i="20"/>
  <c r="Z32" i="20" s="1"/>
  <c r="AA98" i="20"/>
  <c r="AA241" i="20"/>
  <c r="AA240" i="20" s="1"/>
  <c r="AB312" i="20"/>
  <c r="AG62" i="20"/>
  <c r="Y92" i="20"/>
  <c r="Y75" i="20" s="1"/>
  <c r="Y320" i="20"/>
  <c r="Y319" i="20" s="1"/>
  <c r="Y318" i="20" s="1"/>
  <c r="AA320" i="20"/>
  <c r="AA319" i="20" s="1"/>
  <c r="AA318" i="20" s="1"/>
  <c r="AB221" i="20"/>
  <c r="AB210" i="20" s="1"/>
  <c r="Y10" i="20"/>
  <c r="Y9" i="20" s="1"/>
  <c r="Y8" i="20" s="1"/>
  <c r="Y161" i="20"/>
  <c r="Z52" i="20"/>
  <c r="Z110" i="20"/>
  <c r="Z109" i="20" s="1"/>
  <c r="Z161" i="20"/>
  <c r="AG10" i="20"/>
  <c r="AG9" i="20" s="1"/>
  <c r="AG8" i="20" s="1"/>
  <c r="Y98" i="20"/>
  <c r="AA110" i="20"/>
  <c r="AA109" i="20" s="1"/>
  <c r="AA161" i="20"/>
  <c r="AF52" i="20"/>
  <c r="AG334" i="20"/>
  <c r="AG333" i="20" s="1"/>
  <c r="AG332" i="20" s="1"/>
  <c r="Y291" i="20"/>
  <c r="Y281" i="20" s="1"/>
  <c r="AG98" i="20"/>
  <c r="X167" i="20"/>
  <c r="Z92" i="20"/>
  <c r="Z75" i="20" s="1"/>
  <c r="AB98" i="20"/>
  <c r="AF230" i="20"/>
  <c r="Y167" i="20"/>
  <c r="X320" i="20"/>
  <c r="X319" i="20" s="1"/>
  <c r="X318" i="20" s="1"/>
  <c r="Z46" i="20"/>
  <c r="AA92" i="20"/>
  <c r="AA75" i="20" s="1"/>
  <c r="AB62" i="20"/>
  <c r="AF190" i="20"/>
  <c r="AF320" i="20"/>
  <c r="AF319" i="20" s="1"/>
  <c r="AF318" i="20" s="1"/>
  <c r="AF334" i="20"/>
  <c r="AF333" i="20" s="1"/>
  <c r="AF332" i="20" s="1"/>
  <c r="Y334" i="20"/>
  <c r="Y333" i="20" s="1"/>
  <c r="Y332" i="20" s="1"/>
  <c r="AA46" i="20"/>
  <c r="Z121" i="20"/>
  <c r="Z120" i="20" s="1"/>
  <c r="Z221" i="20"/>
  <c r="Z210" i="20" s="1"/>
  <c r="Z291" i="20"/>
  <c r="Z281" i="20" s="1"/>
  <c r="AB10" i="20"/>
  <c r="AB9" i="20" s="1"/>
  <c r="AB8" i="20" s="1"/>
  <c r="AB57" i="20"/>
  <c r="AC15" i="20"/>
  <c r="AB190" i="20"/>
  <c r="X62" i="20"/>
  <c r="X334" i="20"/>
  <c r="X333" i="20" s="1"/>
  <c r="X332" i="20" s="1"/>
  <c r="X291" i="20"/>
  <c r="X281" i="20" s="1"/>
  <c r="X271" i="20"/>
  <c r="X270" i="20" s="1"/>
  <c r="X269" i="20" s="1"/>
  <c r="X241" i="20"/>
  <c r="X240" i="20" s="1"/>
  <c r="X221" i="20"/>
  <c r="X210" i="20" s="1"/>
  <c r="X161" i="20"/>
  <c r="X121" i="20"/>
  <c r="X120" i="20" s="1"/>
  <c r="X33" i="20"/>
  <c r="X32" i="20" s="1"/>
  <c r="X46" i="20"/>
  <c r="X10" i="20"/>
  <c r="X9" i="20" s="1"/>
  <c r="X8" i="20" s="1"/>
  <c r="X70" i="20"/>
  <c r="X57" i="20"/>
  <c r="X52" i="20"/>
  <c r="X190" i="20"/>
  <c r="X98" i="20"/>
  <c r="Y209" i="20" l="1"/>
  <c r="AE209" i="20"/>
  <c r="AB209" i="20"/>
  <c r="AD113" i="20"/>
  <c r="AD97" i="20" s="1"/>
  <c r="X209" i="20"/>
  <c r="AG209" i="20"/>
  <c r="AA209" i="20"/>
  <c r="AH209" i="20"/>
  <c r="AB113" i="20"/>
  <c r="AB97" i="20" s="1"/>
  <c r="AG45" i="20"/>
  <c r="AG27" i="20" s="1"/>
  <c r="X113" i="20"/>
  <c r="X97" i="20" s="1"/>
  <c r="Z45" i="20"/>
  <c r="Z27" i="20" s="1"/>
  <c r="AD45" i="20"/>
  <c r="AD27" i="20" s="1"/>
  <c r="AC209" i="20"/>
  <c r="AI45" i="20"/>
  <c r="AI27" i="20" s="1"/>
  <c r="AC239" i="20"/>
  <c r="AH113" i="20"/>
  <c r="AH97" i="20" s="1"/>
  <c r="AC113" i="20"/>
  <c r="AC97" i="20" s="1"/>
  <c r="Y45" i="20"/>
  <c r="Y27" i="20" s="1"/>
  <c r="AH239" i="20"/>
  <c r="Z209" i="20"/>
  <c r="AF113" i="20"/>
  <c r="AF97" i="20" s="1"/>
  <c r="AG239" i="20"/>
  <c r="AD209" i="20"/>
  <c r="AI209" i="20"/>
  <c r="AA45" i="20"/>
  <c r="AA27" i="20" s="1"/>
  <c r="AI239" i="20"/>
  <c r="AD239" i="20"/>
  <c r="Z113" i="20"/>
  <c r="Z97" i="20" s="1"/>
  <c r="AI113" i="20"/>
  <c r="AI97" i="20" s="1"/>
  <c r="X239" i="20"/>
  <c r="AF239" i="20"/>
  <c r="AE113" i="20"/>
  <c r="AE97" i="20" s="1"/>
  <c r="AC45" i="20"/>
  <c r="AC27" i="20" s="1"/>
  <c r="AE239" i="20"/>
  <c r="AE45" i="20"/>
  <c r="AE27" i="20" s="1"/>
  <c r="AH45" i="20"/>
  <c r="AH27" i="20" s="1"/>
  <c r="AG113" i="20"/>
  <c r="AG97" i="20" s="1"/>
  <c r="AB45" i="20"/>
  <c r="AB27" i="20" s="1"/>
  <c r="AB239" i="20"/>
  <c r="AA113" i="20"/>
  <c r="AA97" i="20" s="1"/>
  <c r="AF45" i="20"/>
  <c r="AF27" i="20" s="1"/>
  <c r="Y113" i="20"/>
  <c r="Y97" i="20" s="1"/>
  <c r="Z239" i="20"/>
  <c r="Y239" i="20"/>
  <c r="Y208" i="20" s="1"/>
  <c r="AF209" i="20"/>
  <c r="AA239" i="20"/>
  <c r="AC10" i="20"/>
  <c r="X45" i="20"/>
  <c r="X27" i="20" s="1"/>
  <c r="AB208" i="20" l="1"/>
  <c r="AB207" i="20" s="1"/>
  <c r="AB5" i="20" s="1"/>
  <c r="X208" i="20"/>
  <c r="X207" i="20" s="1"/>
  <c r="X5" i="20" s="1"/>
  <c r="AA208" i="20"/>
  <c r="AA207" i="20" s="1"/>
  <c r="AA5" i="20" s="1"/>
  <c r="AG208" i="20"/>
  <c r="AG207" i="20" s="1"/>
  <c r="AG5" i="20" s="1"/>
  <c r="AH208" i="20"/>
  <c r="AH207" i="20" s="1"/>
  <c r="AH5" i="20" s="1"/>
  <c r="AE208" i="20"/>
  <c r="AE207" i="20" s="1"/>
  <c r="AE5" i="20" s="1"/>
  <c r="AF208" i="20"/>
  <c r="AF207" i="20" s="1"/>
  <c r="AF5" i="20" s="1"/>
  <c r="Z208" i="20"/>
  <c r="Z207" i="20" s="1"/>
  <c r="Z5" i="20" s="1"/>
  <c r="AD26" i="20"/>
  <c r="AD7" i="20" s="1"/>
  <c r="AI26" i="20"/>
  <c r="AI7" i="20" s="1"/>
  <c r="AI208" i="20"/>
  <c r="AI207" i="20" s="1"/>
  <c r="AI5" i="20" s="1"/>
  <c r="AE26" i="20"/>
  <c r="AE7" i="20" s="1"/>
  <c r="AG26" i="20"/>
  <c r="AG7" i="20" s="1"/>
  <c r="AC208" i="20"/>
  <c r="AC207" i="20" s="1"/>
  <c r="AC5" i="20" s="1"/>
  <c r="AF26" i="20"/>
  <c r="AF7" i="20" s="1"/>
  <c r="AD208" i="20"/>
  <c r="AD207" i="20" s="1"/>
  <c r="AD5" i="20" s="1"/>
  <c r="Z26" i="20"/>
  <c r="Z7" i="20" s="1"/>
  <c r="AC26" i="20"/>
  <c r="Y26" i="20"/>
  <c r="Y7" i="20" s="1"/>
  <c r="AA26" i="20"/>
  <c r="AA7" i="20" s="1"/>
  <c r="AH26" i="20"/>
  <c r="AH7" i="20" s="1"/>
  <c r="AB26" i="20"/>
  <c r="AB7" i="20" s="1"/>
  <c r="Y207" i="20"/>
  <c r="AC9" i="20"/>
  <c r="X26" i="20"/>
  <c r="X7" i="20" s="1"/>
  <c r="Y5" i="20" l="1"/>
  <c r="AC8" i="20"/>
  <c r="AC7" i="20" l="1"/>
  <c r="S316" i="20" l="1"/>
  <c r="AJ316" i="20" s="1"/>
  <c r="R374" i="20"/>
  <c r="R373" i="20" s="1"/>
  <c r="T373" i="20"/>
  <c r="S336" i="20"/>
  <c r="S335" i="20" s="1"/>
  <c r="T335" i="20"/>
  <c r="T330" i="20"/>
  <c r="S330" i="20"/>
  <c r="AJ330" i="20" s="1"/>
  <c r="R330" i="20"/>
  <c r="T327" i="20"/>
  <c r="S327" i="20"/>
  <c r="AJ327" i="20" s="1"/>
  <c r="R327" i="20"/>
  <c r="S325" i="20"/>
  <c r="R325" i="20"/>
  <c r="S323" i="20"/>
  <c r="R323" i="20"/>
  <c r="T322" i="20"/>
  <c r="S321" i="20"/>
  <c r="R321" i="20"/>
  <c r="T320" i="20"/>
  <c r="T319" i="20" s="1"/>
  <c r="R316" i="20"/>
  <c r="S313" i="20"/>
  <c r="R313" i="20"/>
  <c r="T312" i="20"/>
  <c r="R311" i="20"/>
  <c r="R310" i="20" s="1"/>
  <c r="R309" i="20" s="1"/>
  <c r="R308" i="20" s="1"/>
  <c r="T310" i="20"/>
  <c r="T309" i="20" s="1"/>
  <c r="T308" i="20" s="1"/>
  <c r="S310" i="20"/>
  <c r="S309" i="20" s="1"/>
  <c r="S308" i="20" s="1"/>
  <c r="T305" i="20"/>
  <c r="T304" i="20" s="1"/>
  <c r="T303" i="20" s="1"/>
  <c r="S305" i="20"/>
  <c r="S304" i="20" s="1"/>
  <c r="S303" i="20" s="1"/>
  <c r="R305" i="20"/>
  <c r="R304" i="20" s="1"/>
  <c r="R303" i="20" s="1"/>
  <c r="R301" i="20"/>
  <c r="R300" i="20"/>
  <c r="R299" i="20"/>
  <c r="V299" i="20" s="1"/>
  <c r="R297" i="20"/>
  <c r="T295" i="20"/>
  <c r="S295" i="20"/>
  <c r="R294" i="20"/>
  <c r="V294" i="20" s="1"/>
  <c r="T292" i="20"/>
  <c r="R288" i="20"/>
  <c r="R287" i="20"/>
  <c r="R286" i="20"/>
  <c r="T284" i="20"/>
  <c r="T283" i="20" s="1"/>
  <c r="T282" i="20" s="1"/>
  <c r="S284" i="20"/>
  <c r="S283" i="20" s="1"/>
  <c r="S282" i="20" s="1"/>
  <c r="T279" i="20"/>
  <c r="T278" i="20" s="1"/>
  <c r="T277" i="20" s="1"/>
  <c r="S279" i="20"/>
  <c r="S278" i="20" s="1"/>
  <c r="S277" i="20" s="1"/>
  <c r="R279" i="20"/>
  <c r="R278" i="20" s="1"/>
  <c r="R277" i="20" s="1"/>
  <c r="T275" i="20"/>
  <c r="T274" i="20" s="1"/>
  <c r="S275" i="20"/>
  <c r="S274" i="20" s="1"/>
  <c r="R275" i="20"/>
  <c r="R274" i="20" s="1"/>
  <c r="T272" i="20"/>
  <c r="S272" i="20"/>
  <c r="R272" i="20"/>
  <c r="T267" i="20"/>
  <c r="T266" i="20" s="1"/>
  <c r="T265" i="20" s="1"/>
  <c r="S267" i="20"/>
  <c r="S266" i="20" s="1"/>
  <c r="S265" i="20" s="1"/>
  <c r="R267" i="20"/>
  <c r="R266" i="20" s="1"/>
  <c r="R265" i="20" s="1"/>
  <c r="R262" i="20"/>
  <c r="R259" i="20" s="1"/>
  <c r="T259" i="20"/>
  <c r="T250" i="20"/>
  <c r="R250" i="20"/>
  <c r="V247" i="20"/>
  <c r="V245" i="20"/>
  <c r="R242" i="20"/>
  <c r="T234" i="20"/>
  <c r="R234" i="20"/>
  <c r="T231" i="20"/>
  <c r="R231" i="20"/>
  <c r="T228" i="20"/>
  <c r="T227" i="20" s="1"/>
  <c r="S227" i="20"/>
  <c r="R228" i="20"/>
  <c r="R227" i="20" s="1"/>
  <c r="T225" i="20"/>
  <c r="S225" i="20"/>
  <c r="R225" i="20"/>
  <c r="T222" i="20"/>
  <c r="S222" i="20"/>
  <c r="R222" i="20"/>
  <c r="T218" i="20"/>
  <c r="T217" i="20" s="1"/>
  <c r="S218" i="20"/>
  <c r="S217" i="20" s="1"/>
  <c r="R218" i="20"/>
  <c r="R217" i="20" s="1"/>
  <c r="T215" i="20"/>
  <c r="T214" i="20" s="1"/>
  <c r="S215" i="20"/>
  <c r="S214" i="20" s="1"/>
  <c r="R215" i="20"/>
  <c r="R214" i="20" s="1"/>
  <c r="T212" i="20"/>
  <c r="T211" i="20" s="1"/>
  <c r="S211" i="20"/>
  <c r="R212" i="20"/>
  <c r="R211" i="20" s="1"/>
  <c r="T205" i="20"/>
  <c r="S205" i="20"/>
  <c r="R205" i="20"/>
  <c r="T203" i="20"/>
  <c r="T202" i="20" s="1"/>
  <c r="S203" i="20"/>
  <c r="S202" i="20" s="1"/>
  <c r="R203" i="20"/>
  <c r="R202" i="20" s="1"/>
  <c r="T199" i="20"/>
  <c r="T198" i="20" s="1"/>
  <c r="S199" i="20"/>
  <c r="R199" i="20"/>
  <c r="R198" i="20" s="1"/>
  <c r="T196" i="20"/>
  <c r="T195" i="20" s="1"/>
  <c r="S196" i="20"/>
  <c r="S195" i="20" s="1"/>
  <c r="R196" i="20"/>
  <c r="R195" i="20" s="1"/>
  <c r="T192" i="20"/>
  <c r="T191" i="20" s="1"/>
  <c r="S192" i="20"/>
  <c r="S191" i="20" s="1"/>
  <c r="R192" i="20"/>
  <c r="R191" i="20" s="1"/>
  <c r="T183" i="20"/>
  <c r="S183" i="20"/>
  <c r="R183" i="20"/>
  <c r="T179" i="20"/>
  <c r="R179" i="20"/>
  <c r="T177" i="20"/>
  <c r="S177" i="20"/>
  <c r="R177" i="20"/>
  <c r="T171" i="20"/>
  <c r="T170" i="20" s="1"/>
  <c r="S170" i="20"/>
  <c r="R171" i="20"/>
  <c r="R170" i="20" s="1"/>
  <c r="T168" i="20"/>
  <c r="S168" i="20"/>
  <c r="R168" i="20"/>
  <c r="T165" i="20"/>
  <c r="S165" i="20"/>
  <c r="R165" i="20"/>
  <c r="T162" i="20"/>
  <c r="S162" i="20"/>
  <c r="R162" i="20"/>
  <c r="T154" i="20"/>
  <c r="S154" i="20"/>
  <c r="R154" i="20"/>
  <c r="T152" i="20"/>
  <c r="R152" i="20"/>
  <c r="R148" i="20"/>
  <c r="T147" i="20"/>
  <c r="R147" i="20"/>
  <c r="T146" i="20"/>
  <c r="T144" i="20"/>
  <c r="T135" i="20"/>
  <c r="S132" i="20"/>
  <c r="S130" i="20"/>
  <c r="T129" i="20"/>
  <c r="T128" i="20"/>
  <c r="T127" i="20"/>
  <c r="T126" i="20"/>
  <c r="T118" i="20"/>
  <c r="T117" i="20"/>
  <c r="T116" i="20"/>
  <c r="R115" i="20"/>
  <c r="R114" i="20" s="1"/>
  <c r="T111" i="20"/>
  <c r="S111" i="20"/>
  <c r="R111"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2" i="20" l="1"/>
  <c r="S121" i="20" s="1"/>
  <c r="S120" i="20" s="1"/>
  <c r="S167" i="20"/>
  <c r="S176" i="20"/>
  <c r="S175" i="20" s="1"/>
  <c r="R176" i="20"/>
  <c r="R175" i="20" s="1"/>
  <c r="T176" i="20"/>
  <c r="T175" i="20" s="1"/>
  <c r="S241" i="20"/>
  <c r="S240" i="20" s="1"/>
  <c r="T230" i="20"/>
  <c r="S312" i="20"/>
  <c r="AJ312" i="20" s="1"/>
  <c r="AJ313" i="20"/>
  <c r="R161" i="20"/>
  <c r="R336" i="20"/>
  <c r="R335" i="20" s="1"/>
  <c r="R334" i="20" s="1"/>
  <c r="R333" i="20" s="1"/>
  <c r="R332" i="20" s="1"/>
  <c r="R122" i="20"/>
  <c r="R121" i="20" s="1"/>
  <c r="R120" i="20" s="1"/>
  <c r="R46" i="20"/>
  <c r="T57" i="20"/>
  <c r="T46" i="20"/>
  <c r="R271" i="20"/>
  <c r="R270" i="20" s="1"/>
  <c r="R269" i="20" s="1"/>
  <c r="R221" i="20"/>
  <c r="R210" i="20" s="1"/>
  <c r="S115" i="20"/>
  <c r="S114" i="20" s="1"/>
  <c r="T33" i="20"/>
  <c r="T32" i="20" s="1"/>
  <c r="S62" i="20"/>
  <c r="R284" i="20"/>
  <c r="R283" i="20" s="1"/>
  <c r="R282" i="20" s="1"/>
  <c r="R33" i="20"/>
  <c r="R32" i="20" s="1"/>
  <c r="T92" i="20"/>
  <c r="S291" i="20"/>
  <c r="S281" i="20" s="1"/>
  <c r="R320" i="20"/>
  <c r="R319" i="20" s="1"/>
  <c r="R318" i="20" s="1"/>
  <c r="S320" i="20"/>
  <c r="S319" i="20" s="1"/>
  <c r="T334" i="20"/>
  <c r="T333" i="20" s="1"/>
  <c r="T332" i="20" s="1"/>
  <c r="R230" i="20"/>
  <c r="T70" i="20"/>
  <c r="T318" i="20"/>
  <c r="T62" i="20"/>
  <c r="R57" i="20"/>
  <c r="R241" i="20"/>
  <c r="R240" i="20" s="1"/>
  <c r="R295" i="20"/>
  <c r="R110" i="20"/>
  <c r="R109" i="20" s="1"/>
  <c r="S92" i="20"/>
  <c r="T110" i="20"/>
  <c r="T109" i="20" s="1"/>
  <c r="S198" i="20"/>
  <c r="T52" i="20"/>
  <c r="T122" i="20"/>
  <c r="T121" i="20" s="1"/>
  <c r="T120" i="20" s="1"/>
  <c r="R10" i="20"/>
  <c r="R9" i="20" s="1"/>
  <c r="R8" i="20" s="1"/>
  <c r="R190" i="20"/>
  <c r="R98" i="20"/>
  <c r="T115" i="20"/>
  <c r="T114" i="20" s="1"/>
  <c r="T167" i="20"/>
  <c r="S271" i="20"/>
  <c r="S270" i="20" s="1"/>
  <c r="S269" i="20" s="1"/>
  <c r="S334" i="20"/>
  <c r="S333" i="20" s="1"/>
  <c r="S221" i="20"/>
  <c r="S210" i="20" s="1"/>
  <c r="S209" i="20" s="1"/>
  <c r="S15" i="20"/>
  <c r="R62" i="20"/>
  <c r="S161" i="20"/>
  <c r="R167" i="20"/>
  <c r="T190" i="20"/>
  <c r="R312" i="20"/>
  <c r="S70" i="20"/>
  <c r="T161" i="20"/>
  <c r="S52" i="20"/>
  <c r="S107" i="20"/>
  <c r="S46" i="20"/>
  <c r="R52" i="20"/>
  <c r="R70" i="20"/>
  <c r="S78" i="20"/>
  <c r="T221" i="20"/>
  <c r="T210" i="20" s="1"/>
  <c r="T291" i="20"/>
  <c r="T281" i="20" s="1"/>
  <c r="S28" i="20"/>
  <c r="T10" i="20"/>
  <c r="T9" i="20" s="1"/>
  <c r="T8" i="20" s="1"/>
  <c r="S22" i="20"/>
  <c r="T271" i="20"/>
  <c r="T270" i="20" s="1"/>
  <c r="T269" i="20" s="1"/>
  <c r="R92" i="20"/>
  <c r="T98" i="20"/>
  <c r="T243" i="20"/>
  <c r="T242" i="20" s="1"/>
  <c r="T241" i="20" s="1"/>
  <c r="T240" i="20" s="1"/>
  <c r="V297" i="20"/>
  <c r="S33" i="20"/>
  <c r="S57" i="20"/>
  <c r="R292" i="20"/>
  <c r="T86" i="20"/>
  <c r="T85" i="20" s="1"/>
  <c r="T253" i="17"/>
  <c r="U253" i="17" s="1"/>
  <c r="T209" i="20" l="1"/>
  <c r="S239" i="20"/>
  <c r="T75" i="20"/>
  <c r="S332" i="20"/>
  <c r="AJ332" i="20" s="1"/>
  <c r="S318" i="20"/>
  <c r="AJ318" i="20" s="1"/>
  <c r="AJ319" i="20"/>
  <c r="R291" i="20"/>
  <c r="R281" i="20" s="1"/>
  <c r="R239" i="20" s="1"/>
  <c r="R237" i="20" s="1"/>
  <c r="R113" i="20"/>
  <c r="R97" i="20" s="1"/>
  <c r="T45" i="20"/>
  <c r="S45" i="20"/>
  <c r="R209" i="20"/>
  <c r="S75" i="20"/>
  <c r="T113" i="20"/>
  <c r="T97" i="20" s="1"/>
  <c r="AJ209" i="20"/>
  <c r="S190" i="20"/>
  <c r="S10" i="20"/>
  <c r="AJ10" i="20" s="1"/>
  <c r="R45" i="20"/>
  <c r="S106" i="20"/>
  <c r="T239" i="20"/>
  <c r="S21" i="20"/>
  <c r="R75" i="20"/>
  <c r="S32" i="20"/>
  <c r="U87" i="17"/>
  <c r="U150" i="17"/>
  <c r="U143" i="17"/>
  <c r="T27" i="20" l="1"/>
  <c r="T26" i="20" s="1"/>
  <c r="T7" i="20" s="1"/>
  <c r="T208" i="20"/>
  <c r="T207" i="20" s="1"/>
  <c r="T237" i="20"/>
  <c r="R208" i="20"/>
  <c r="R207" i="20" s="1"/>
  <c r="S113" i="20"/>
  <c r="S208" i="20"/>
  <c r="R27" i="20"/>
  <c r="R26" i="20" s="1"/>
  <c r="R7" i="20" s="1"/>
  <c r="S98" i="20"/>
  <c r="S27" i="20"/>
  <c r="S20" i="20"/>
  <c r="T183" i="17"/>
  <c r="N8" i="18"/>
  <c r="M8" i="18"/>
  <c r="N7" i="18"/>
  <c r="M7" i="18"/>
  <c r="L3" i="18"/>
  <c r="L4" i="18"/>
  <c r="L5" i="18"/>
  <c r="L7" i="18"/>
  <c r="L8" i="18"/>
  <c r="L9" i="18"/>
  <c r="L10" i="18"/>
  <c r="L11" i="18"/>
  <c r="L6" i="18"/>
  <c r="S97" i="20" l="1"/>
  <c r="S26" i="20" s="1"/>
  <c r="S207" i="20"/>
  <c r="AJ208" i="20"/>
  <c r="S9" i="20"/>
  <c r="AJ9" i="20" s="1"/>
  <c r="R103" i="17"/>
  <c r="R112" i="17"/>
  <c r="R114" i="17"/>
  <c r="R125" i="17"/>
  <c r="R164" i="17"/>
  <c r="R186" i="17"/>
  <c r="R185" i="17" s="1"/>
  <c r="R196" i="17"/>
  <c r="R192" i="17"/>
  <c r="R190" i="17"/>
  <c r="AJ207"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Se trasladan </t>
        </r>
        <r>
          <rPr>
            <b/>
            <sz val="9"/>
            <color indexed="81"/>
            <rFont val="Tahoma"/>
            <family val="2"/>
          </rPr>
          <t xml:space="preserve">$7.910.000 </t>
        </r>
        <r>
          <rPr>
            <sz val="9"/>
            <color indexed="81"/>
            <rFont val="Tahoma"/>
            <family val="2"/>
          </rPr>
          <t>al rubro</t>
        </r>
        <r>
          <rPr>
            <b/>
            <sz val="9"/>
            <color indexed="81"/>
            <rFont val="Tahoma"/>
            <family val="2"/>
          </rPr>
          <t xml:space="preserve"> A-02-02-02-008-007-01-5 "</t>
        </r>
        <r>
          <rPr>
            <sz val="9"/>
            <color indexed="81"/>
            <rFont val="Tahoma"/>
            <family val="2"/>
          </rPr>
          <t>MANTENIMIENTO PREVENTIVO Y CORRECTIVO A TODO COSTO DE LAS PLANTAS ELECTRICAS UBICADAS EN LOS CONJUNTOS RESIDENCIALES Y SU SEDE ADMINISTRATIVA EN LA CIUDAD DE BOGOTÁ</t>
        </r>
        <r>
          <rPr>
            <b/>
            <sz val="9"/>
            <color indexed="81"/>
            <rFont val="Tahoma"/>
            <family val="2"/>
          </rPr>
          <t>"</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
Se reciben  $30.000.000 del rubro   A-02-02-02-009-006-01 "</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r>
          <rPr>
            <b/>
            <sz val="9"/>
            <color indexed="81"/>
            <rFont val="Tahoma"/>
            <family val="2"/>
          </rPr>
          <t>" Según oficio radicado I-2025-19173 ID:174424</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6"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6" authorId="1" shapeId="0" xr:uid="{326A6A07-1992-40D0-B4E6-5130658F7AAC}">
      <text>
        <r>
          <rPr>
            <b/>
            <sz val="9"/>
            <color indexed="81"/>
            <rFont val="Tahoma"/>
            <family val="2"/>
          </rPr>
          <t>Ángela Gisell Pérez Barón:</t>
        </r>
        <r>
          <rPr>
            <sz val="9"/>
            <color indexed="81"/>
            <rFont val="Tahoma"/>
            <family val="2"/>
          </rPr>
          <t xml:space="preserve">
Se reciben $6.000.000 del rubro A-02-02-02-008-003-01 "SERVICIO DE SOPORTE Y MANTENIMIENTO ESPECIALIZADO SOBRE LA INFRAESTRUCTURA TECNOLÓGICA DEL INSTITUTO DE CASAS FISCALES DEL EJÉRCITO". Según oficio  radicado </t>
        </r>
      </text>
    </comment>
    <comment ref="S117" authorId="1" shapeId="0" xr:uid="{576DFFE2-A5F2-4DE8-A592-FBBB5E96D206}">
      <text>
        <r>
          <rPr>
            <b/>
            <sz val="9"/>
            <color indexed="81"/>
            <rFont val="Tahoma"/>
            <family val="2"/>
          </rPr>
          <t>Ángela Gisell Pérez Bar
Se reciben $6.000.000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18" authorId="1" shapeId="0" xr:uid="{B2C0B176-C2DB-4438-B998-9CBA8837F721}">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$6.000.000</t>
        </r>
        <r>
          <rPr>
            <sz val="9"/>
            <color indexed="81"/>
            <rFont val="Tahoma"/>
            <family val="2"/>
          </rPr>
          <t xml:space="preserve"> del rubro A-02-02-02-008-003-01 "SERVICIO DE SOPORTE Y MANTENIMIENTO ESPECIALIZADO SOBRE LA INFRAESTRUCTURA TECNOLÓGICA DEL INSTITUTO DE CASAS FISCALES DEL EJÉRCITO". Según oficio  radicado </t>
        </r>
      </text>
    </comment>
    <comment ref="M119"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19"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L123"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3"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S123" authorId="1" shapeId="0" xr:uid="{A5118D29-CFA6-4AF6-A04E-E2F0992A571B}">
      <text>
        <r>
          <rPr>
            <b/>
            <sz val="9"/>
            <color indexed="81"/>
            <rFont val="Tahoma"/>
            <family val="2"/>
          </rPr>
          <t>Ángela Gisell Pérez Barón:</t>
        </r>
        <r>
          <rPr>
            <sz val="9"/>
            <color indexed="81"/>
            <rFont val="Tahoma"/>
            <family val="2"/>
          </rPr>
          <t xml:space="preserve">
se traslada </t>
        </r>
        <r>
          <rPr>
            <b/>
            <sz val="9"/>
            <color indexed="81"/>
            <rFont val="Tahoma"/>
            <family val="2"/>
          </rPr>
          <t>$6.000.000 al rubro  A-02-02-02-008-003</t>
        </r>
        <r>
          <rPr>
            <sz val="9"/>
            <color indexed="81"/>
            <rFont val="Tahoma"/>
            <family val="2"/>
          </rPr>
          <t xml:space="preserve"> 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b/>
            <sz val="9"/>
            <color indexed="81"/>
            <rFont val="Tahoma"/>
            <family val="2"/>
          </rPr>
          <t>Según oficio Radicado I-2025-19034 Id: 173992</t>
        </r>
        <r>
          <rPr>
            <sz val="9"/>
            <color indexed="81"/>
            <rFont val="Tahoma"/>
            <family val="2"/>
          </rPr>
          <t xml:space="preserve">
Setrasladan   </t>
        </r>
        <r>
          <rPr>
            <b/>
            <sz val="9"/>
            <color indexed="81"/>
            <rFont val="Tahoma"/>
            <family val="2"/>
          </rPr>
          <t>$4.300.000 rubro  A-02-02-02-008-003 "</t>
        </r>
        <r>
          <rPr>
            <sz val="9"/>
            <color indexed="81"/>
            <rFont val="Tahoma"/>
            <family val="2"/>
          </rPr>
          <t>PRESTAR CON PLENA
AUTONOMIA ADMINISTRATIVALOS SERVICIOS PROFESIONALESDE UN ECONOMICO PARA EL AREA DE ADQUISICIONES Y SUMINISTROS DEL INSTITUTO DE CASAS FISCALES DEL EJÉRCITO, EN LA ELABORACIÓN DE ESTUDIOS ECONOMICOS, DEL SECTOR Y DE MERCADO PARA EL DESARROLLO DE LOS PROCESOS
DE CONTRATACIÓN</t>
        </r>
        <r>
          <rPr>
            <b/>
            <sz val="9"/>
            <color indexed="81"/>
            <rFont val="Tahoma"/>
            <family val="2"/>
          </rPr>
          <t>" Según oficio Radicado I-2025-19034 Id: 173992</t>
        </r>
        <r>
          <rPr>
            <sz val="9"/>
            <color indexed="81"/>
            <rFont val="Tahoma"/>
            <family val="2"/>
          </rPr>
          <t xml:space="preserve">
Se trasladan  </t>
        </r>
        <r>
          <rPr>
            <b/>
            <sz val="9"/>
            <color indexed="81"/>
            <rFont val="Tahoma"/>
            <family val="2"/>
          </rPr>
          <t xml:space="preserve">$3.600.000 </t>
        </r>
        <r>
          <rPr>
            <sz val="9"/>
            <color indexed="81"/>
            <rFont val="Tahoma"/>
            <family val="2"/>
          </rPr>
          <t>al rubro A-02-02-02-008-003 -01 "PRESTACION DE SERVICIOS PARA APOYO ADMINISTRATIVO AL AREA DE ATENCIÓN AL USUARIO"Según oficio Radicado I-2025-19034 Id: 173992</t>
        </r>
      </text>
    </comment>
    <comment ref="S126" authorId="1" shapeId="0" xr:uid="{675D1970-B527-45D7-9004-D26408286F78}">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7" authorId="1" shapeId="0" xr:uid="{B9197CCA-2663-414E-93BC-0F9BB70831C7}">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$4.300.000 </t>
        </r>
        <r>
          <rPr>
            <sz val="9"/>
            <color indexed="81"/>
            <rFont val="Tahoma"/>
            <family val="2"/>
          </rPr>
          <t xml:space="preserve">del rubro </t>
        </r>
        <r>
          <rPr>
            <b/>
            <sz val="9"/>
            <color indexed="81"/>
            <rFont val="Tahoma"/>
            <family val="2"/>
          </rPr>
          <t>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28" authorId="1" shapeId="0" xr:uid="{2EC29733-15AF-4053-B703-D446A420BFD3}">
      <text>
        <r>
          <rPr>
            <b/>
            <sz val="9"/>
            <color indexed="81"/>
            <rFont val="Tahoma"/>
            <family val="2"/>
          </rPr>
          <t>Ángela Gisell Pérez Barón:</t>
        </r>
        <r>
          <rPr>
            <sz val="9"/>
            <color indexed="81"/>
            <rFont val="Tahoma"/>
            <family val="2"/>
          </rPr>
          <t xml:space="preserve">
S</t>
        </r>
        <r>
          <rPr>
            <b/>
            <sz val="9"/>
            <color indexed="81"/>
            <rFont val="Tahoma"/>
            <family val="2"/>
          </rPr>
          <t>e reciben $9.000.000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29" authorId="1" shapeId="0" xr:uid="{87C17741-D187-47DB-8B8A-E1EE5C6F38F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8.500.000 </t>
        </r>
        <r>
          <rPr>
            <sz val="9"/>
            <color indexed="81"/>
            <rFont val="Tahoma"/>
            <family val="2"/>
          </rPr>
          <t>del rubro</t>
        </r>
        <r>
          <rPr>
            <b/>
            <sz val="9"/>
            <color indexed="81"/>
            <rFont val="Tahoma"/>
            <family val="2"/>
          </rPr>
          <t xml:space="preserve">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M130"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1"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
Se reciben $</t>
        </r>
        <r>
          <rPr>
            <b/>
            <sz val="9"/>
            <color indexed="81"/>
            <rFont val="Tahoma"/>
            <family val="2"/>
          </rPr>
          <t>7.000.000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33" authorId="1" shapeId="0" xr:uid="{238F3176-912C-4875-B0FA-59ECB9FDB431}">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34" authorId="1" shapeId="0" xr:uid="{BFD3285B-ED09-45F9-AA9D-F5F66BD1A1E2}">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M137"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37" authorId="1" shapeId="0" xr:uid="{237A28BF-032E-4AE4-A29D-55B75914CAC4}">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$6.000.000 </t>
        </r>
        <r>
          <rPr>
            <sz val="9"/>
            <color indexed="81"/>
            <rFont val="Tahoma"/>
            <family val="2"/>
          </rPr>
          <t xml:space="preserve">al rubro </t>
        </r>
        <r>
          <rPr>
            <b/>
            <sz val="9"/>
            <color indexed="81"/>
            <rFont val="Tahoma"/>
            <family val="2"/>
          </rPr>
          <t xml:space="preserve">A-02-02-008-003-01 " </t>
        </r>
        <r>
          <rPr>
            <sz val="8"/>
            <color indexed="81"/>
            <rFont val="Tahoma"/>
            <family val="2"/>
          </rPr>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r>
        <r>
          <rPr>
            <b/>
            <sz val="8"/>
            <color indexed="81"/>
            <rFont val="Tahoma"/>
            <family val="2"/>
          </rPr>
          <t xml:space="preserve">". </t>
        </r>
        <r>
          <rPr>
            <sz val="8"/>
            <color indexed="81"/>
            <rFont val="Tahoma"/>
            <family val="2"/>
          </rPr>
          <t xml:space="preserve">Según oficio radicado No.
Se trasladan </t>
        </r>
        <r>
          <rPr>
            <b/>
            <sz val="8"/>
            <color indexed="81"/>
            <rFont val="Tahoma"/>
            <family val="2"/>
          </rPr>
          <t>$4.300.000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CONTRACTUAL".Según oficio radicado No.
Se trasladan </t>
        </r>
        <r>
          <rPr>
            <b/>
            <sz val="8"/>
            <color indexed="81"/>
            <rFont val="Tahoma"/>
            <family val="2"/>
          </rPr>
          <t xml:space="preserve">$6.000.000 </t>
        </r>
        <r>
          <rPr>
            <sz val="8"/>
            <color indexed="81"/>
            <rFont val="Tahoma"/>
            <family val="2"/>
          </rPr>
          <t xml:space="preserve">al rubro </t>
        </r>
        <r>
          <rPr>
            <b/>
            <sz val="8"/>
            <color indexed="81"/>
            <rFont val="Tahoma"/>
            <family val="2"/>
          </rPr>
          <t>A-02-02-008-003-01</t>
        </r>
        <r>
          <rPr>
            <sz val="8"/>
            <color indexed="81"/>
            <rFont val="Tahoma"/>
            <family val="2"/>
          </rPr>
          <t xml:space="preserve"> "PRESTAR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
Se trasladan </t>
        </r>
        <r>
          <rPr>
            <b/>
            <sz val="8"/>
            <color indexed="81"/>
            <rFont val="Tahoma"/>
            <family val="2"/>
          </rPr>
          <t>$6.000.000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Se trasladan</t>
        </r>
        <r>
          <rPr>
            <b/>
            <sz val="8"/>
            <color indexed="81"/>
            <rFont val="Tahoma"/>
            <family val="2"/>
          </rPr>
          <t xml:space="preserve"> $6.000.000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
Se trasladan </t>
        </r>
        <r>
          <rPr>
            <b/>
            <sz val="8"/>
            <color indexed="81"/>
            <rFont val="Tahoma"/>
            <family val="2"/>
          </rPr>
          <t xml:space="preserve">$1.800.000 </t>
        </r>
        <r>
          <rPr>
            <sz val="8"/>
            <color indexed="81"/>
            <rFont val="Tahoma"/>
            <family val="2"/>
          </rPr>
          <t xml:space="preserve">al rubro </t>
        </r>
        <r>
          <rPr>
            <b/>
            <sz val="8"/>
            <color indexed="81"/>
            <rFont val="Tahoma"/>
            <family val="2"/>
          </rPr>
          <t xml:space="preserve">A-02-02-008-003-01 PRESTACIÓN DE SERVICIO PARA APOYO ADMINISTRATIVO AL ÁREA DE GESTIÓN DOCUMENTAL.
</t>
        </r>
        <r>
          <rPr>
            <sz val="8"/>
            <color indexed="81"/>
            <rFont val="Tahoma"/>
            <family val="2"/>
          </rPr>
          <t xml:space="preserve">Se trasladan </t>
        </r>
        <r>
          <rPr>
            <b/>
            <sz val="8"/>
            <color indexed="81"/>
            <rFont val="Tahoma"/>
            <family val="2"/>
          </rPr>
          <t xml:space="preserve">$8.500.000 </t>
        </r>
        <r>
          <rPr>
            <sz val="8"/>
            <color indexed="81"/>
            <rFont val="Tahoma"/>
            <family val="2"/>
          </rPr>
          <t xml:space="preserve"> al rubro </t>
        </r>
        <r>
          <rPr>
            <b/>
            <sz val="8"/>
            <color indexed="81"/>
            <rFont val="Tahoma"/>
            <family val="2"/>
          </rPr>
          <t xml:space="preserve"> A-02-02-02-008-003 01 "P</t>
        </r>
        <r>
          <rPr>
            <sz val="8"/>
            <color indexed="81"/>
            <rFont val="Tahoma"/>
            <family val="2"/>
          </rPr>
          <t xml:space="preserve">RESTAR CON PLENA AUTONOMIA ADMINISTRATIVA LOS SERVICIOS PROFESIONALES DE UN INGENIERO DE SISTEMAS O AFINES COMO LIDER TECNICO DE DESARROLLO DE SOFTWARE - PARA EL GRUPO DEL INSTITUTO DE CASAS FISCALES DEL EJÉRCITO"
Se trasladan </t>
        </r>
        <r>
          <rPr>
            <b/>
            <sz val="8"/>
            <color indexed="81"/>
            <rFont val="Tahoma"/>
            <family val="2"/>
          </rPr>
          <t>$1.800.000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PRESTACIÓN DE SERVICIO PARA APOYO ADMINISTRATIVO AL ÁREA DE GESTIÓN DOCUMENTAL.
Se traslada </t>
        </r>
        <r>
          <rPr>
            <b/>
            <sz val="8"/>
            <color indexed="81"/>
            <rFont val="Tahoma"/>
            <family val="2"/>
          </rPr>
          <t xml:space="preserve">$9.000.000 </t>
        </r>
        <r>
          <rPr>
            <sz val="8"/>
            <color indexed="81"/>
            <rFont val="Tahoma"/>
            <family val="2"/>
          </rPr>
          <t>al rubro</t>
        </r>
        <r>
          <rPr>
            <b/>
            <sz val="8"/>
            <color indexed="81"/>
            <rFont val="Tahoma"/>
            <family val="2"/>
          </rPr>
          <t xml:space="preserve"> A-02-02-02-008-002-01 "P</t>
        </r>
        <r>
          <rPr>
            <sz val="8"/>
            <color indexed="81"/>
            <rFont val="Tahoma"/>
            <family val="2"/>
          </rPr>
          <t>RESTAR CON PLENA AUTONOMÍA ADMINISTRATIVA LOS SERVICIOS PROFESIONALES DE UN INGENIERO DE SISTEMAS O AFINES COMO LIDER DEL GRUPO DE DESARROLLO, ADMINISTRADOR Y DISEÑADOR DE BASES DE DATOS PARA EL GRUPO DEL INSTITUTO DE CASAS FISCALES DEL EJÉRCITO</t>
        </r>
        <r>
          <rPr>
            <b/>
            <sz val="8"/>
            <color indexed="81"/>
            <rFont val="Tahoma"/>
            <family val="2"/>
          </rPr>
          <t xml:space="preserve">"
</t>
        </r>
        <r>
          <rPr>
            <sz val="8"/>
            <color indexed="81"/>
            <rFont val="Tahoma"/>
            <family val="2"/>
          </rPr>
          <t>Se traladan</t>
        </r>
        <r>
          <rPr>
            <b/>
            <sz val="8"/>
            <color indexed="81"/>
            <rFont val="Tahoma"/>
            <family val="2"/>
          </rPr>
          <t xml:space="preserve"> $4.300.000 al rubro A-02-02-02-008-003-01 "</t>
        </r>
        <r>
          <rPr>
            <sz val="8"/>
            <color indexed="81"/>
            <rFont val="Tahoma"/>
            <family val="2"/>
          </rPr>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r>
        <r>
          <rPr>
            <b/>
            <sz val="8"/>
            <color indexed="81"/>
            <rFont val="Tahoma"/>
            <family val="2"/>
          </rPr>
          <t>"
Se traladan $4.300.000 al rubro A-02-02-02-008-003-01 "</t>
        </r>
        <r>
          <rPr>
            <sz val="8"/>
            <color indexed="81"/>
            <rFont val="Tahoma"/>
            <family val="2"/>
          </rPr>
          <t xml:space="preserve">PRESTAR CON PLENA AUTONOMIA LOS SERVICIOS PROFESIONALES DE UN INGENIERO  PARA EL SOPORTE DE LA BASE DE DATOS DE LA PLATAFORMA SAIMF PARA EL GRUPO DEL INSTITUTO DE CASAS FISCALES DEL EJÉRCITO </t>
        </r>
        <r>
          <rPr>
            <b/>
            <sz val="8"/>
            <color indexed="81"/>
            <rFont val="Tahoma"/>
            <family val="2"/>
          </rPr>
          <t xml:space="preserve">"
</t>
        </r>
        <r>
          <rPr>
            <sz val="8"/>
            <color indexed="81"/>
            <rFont val="Tahoma"/>
            <family val="2"/>
          </rPr>
          <t>Se trasladan</t>
        </r>
        <r>
          <rPr>
            <b/>
            <sz val="8"/>
            <color indexed="81"/>
            <rFont val="Tahoma"/>
            <family val="2"/>
          </rPr>
          <t xml:space="preserve"> $2.700.000 al rubro A-02-02-008-003-01 </t>
        </r>
        <r>
          <rPr>
            <sz val="8"/>
            <color indexed="81"/>
            <rFont val="Tahoma"/>
            <family val="2"/>
          </rPr>
          <t>PRESTACIÓN DE SERVICIO PARA APOYO ADMINISTRATIVO AL ÁREA DE GESTIÓN DOCUMENTAL.</t>
        </r>
        <r>
          <rPr>
            <b/>
            <sz val="8"/>
            <color indexed="81"/>
            <rFont val="Tahoma"/>
            <family val="2"/>
          </rPr>
          <t xml:space="preserve">
Setrasladan $ 7.000.000.al rubro A-02-02-02-008-003-01-
</t>
        </r>
        <r>
          <rPr>
            <sz val="8"/>
            <color indexed="81"/>
            <rFont val="Tahoma"/>
            <family val="2"/>
          </rPr>
          <t xml:space="preserve">PRESTAR CON PLENA AUTONOMIA ADMINISTRATIVA LOS SERVICIOS PROFESIONALES DE UN INGENIERO DE SISTEMAS O A FINES COMO DESARROLLADOR DE SOFTWARE FRONTEND - PARA EL GRUPO DEL INSTITUTO DE CASAS FISCALES DEL EJÉRCITO".
Se trasladan </t>
        </r>
        <r>
          <rPr>
            <b/>
            <sz val="8"/>
            <color indexed="81"/>
            <rFont val="Tahoma"/>
            <family val="2"/>
          </rPr>
          <t xml:space="preserve">$6.000.000 </t>
        </r>
        <r>
          <rPr>
            <sz val="8"/>
            <color indexed="81"/>
            <rFont val="Tahoma"/>
            <family val="2"/>
          </rPr>
          <t>al rubr</t>
        </r>
        <r>
          <rPr>
            <b/>
            <sz val="8"/>
            <color indexed="81"/>
            <rFont val="Tahoma"/>
            <family val="2"/>
          </rPr>
          <t>o A-02-02-02-008-003-01</t>
        </r>
        <r>
          <rPr>
            <sz val="8"/>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 trasladan </t>
        </r>
        <r>
          <rPr>
            <b/>
            <sz val="8"/>
            <color indexed="81"/>
            <rFont val="Tahoma"/>
            <family val="2"/>
          </rPr>
          <t xml:space="preserve">$6.000.000 al rubro A-02-02-02-008-002 </t>
        </r>
        <r>
          <rPr>
            <sz val="8"/>
            <color indexed="81"/>
            <rFont val="Tahoma"/>
            <family val="2"/>
          </rPr>
          <t>"PRESTAR CON PLENA AUTONOMIA ADMINISTRATIVA LOS SERVICIOS PROFESIONALES DE UN ABOGADO ESPECIALIZADO EN APOYO A LA OFICINA DE ASESORÍA JURÍDICA DEL INSTITUTO DE CASAS FISCALES DEL EJÉRCITO NACIONAL".
Se trasladan $</t>
        </r>
        <r>
          <rPr>
            <b/>
            <sz val="8"/>
            <color indexed="81"/>
            <rFont val="Tahoma"/>
            <family val="2"/>
          </rPr>
          <t xml:space="preserve">6.000.000 al rubro A-02-02-02-008-002 " </t>
        </r>
        <r>
          <rPr>
            <sz val="8"/>
            <color indexed="81"/>
            <rFont val="Tahoma"/>
            <family val="2"/>
          </rPr>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b/>
            <sz val="8"/>
            <color indexed="81"/>
            <rFont val="Tahoma"/>
            <family val="2"/>
          </rPr>
          <t xml:space="preserve">Se trasladan $6.000.000 al rubro A-02-02-02-008-002 " </t>
        </r>
        <r>
          <rPr>
            <sz val="8"/>
            <color indexed="81"/>
            <rFont val="Tahoma"/>
            <family val="2"/>
          </rPr>
          <t xml:space="preserve">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
S</t>
        </r>
        <r>
          <rPr>
            <b/>
            <sz val="8"/>
            <color indexed="81"/>
            <rFont val="Tahoma"/>
            <family val="2"/>
          </rPr>
          <t>e trasladan $6.000.000 al rubro A-02-02-02-008-002 "</t>
        </r>
        <r>
          <rPr>
            <sz val="8"/>
            <color indexed="81"/>
            <rFont val="Tahoma"/>
            <family val="2"/>
          </rPr>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t>
        </r>
        <r>
          <rPr>
            <b/>
            <sz val="8"/>
            <color indexed="81"/>
            <rFont val="Tahoma"/>
            <family val="2"/>
          </rPr>
          <t>e trasladan $3.600.000 al rubro A-02-02-02-008-005-09</t>
        </r>
        <r>
          <rPr>
            <sz val="8"/>
            <color indexed="81"/>
            <rFont val="Tahoma"/>
            <family val="2"/>
          </rPr>
          <t xml:space="preserve">
PRESTACIÓN DE SERVICIO PARA APOYO A LA ADMINISTRACCIÓN DEL
AREA DE TIC´S DEL INSTITUTO DE CASAS FISCALES DEL EJÉRCITO</t>
        </r>
      </text>
    </comment>
    <comment ref="S141"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42"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Radicado I-2025-06607 Id: 169922</t>
        </r>
      </text>
    </comment>
    <comment ref="S144" authorId="1" shapeId="0" xr:uid="{71B23377-6A1F-4784-A443-015C84F53615}">
      <text>
        <r>
          <rPr>
            <b/>
            <sz val="9"/>
            <color indexed="81"/>
            <rFont val="Tahoma"/>
            <family val="2"/>
          </rPr>
          <t>Ángela Gisell Pérez Barón:</t>
        </r>
        <r>
          <rPr>
            <sz val="9"/>
            <color indexed="81"/>
            <rFont val="Tahoma"/>
            <family val="2"/>
          </rPr>
          <t xml:space="preserve">
Se reciben </t>
        </r>
        <r>
          <rPr>
            <b/>
            <sz val="9"/>
            <color indexed="81"/>
            <rFont val="Tahoma"/>
            <family val="2"/>
          </rPr>
          <t>$6.000.000 del rubro A-02-02-02-008-003-01</t>
        </r>
        <r>
          <rPr>
            <sz val="9"/>
            <color indexed="81"/>
            <rFont val="Tahoma"/>
            <family val="2"/>
          </rPr>
          <t xml:space="preserve"> "SERVICIO DE SOPORTE Y MANTENIMIENTO ESPECIALIZADO SOBRE LA INFRAESTRUCTURA TECNOLÓGICA DEL INSTITUTO DE CASAS FISCALES
DEL EJÉRCITO". Según oficio  radicado 
</t>
        </r>
        <r>
          <rPr>
            <b/>
            <sz val="9"/>
            <color indexed="81"/>
            <rFont val="Tahoma"/>
            <family val="2"/>
          </rPr>
          <t xml:space="preserve">
Se reciben $6000.000 del rubro A-02-02-02-008-003</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EGÚN OFICIO RADICADO I-2025-19034 Id: 173992</t>
        </r>
      </text>
    </comment>
    <comment ref="S145" authorId="1" shapeId="0" xr:uid="{CB80AA44-4EFF-4389-B355-B20B45345CC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46" authorId="1" shapeId="0" xr:uid="{3193CB52-62BE-4B26-8DD2-D6B4642A70CD}">
      <text>
        <r>
          <rPr>
            <b/>
            <sz val="9"/>
            <color indexed="81"/>
            <rFont val="Tahoma"/>
            <family val="2"/>
          </rPr>
          <t>Ángela Gisell Pérez Barón:</t>
        </r>
        <r>
          <rPr>
            <sz val="9"/>
            <color indexed="81"/>
            <rFont val="Tahoma"/>
            <family val="2"/>
          </rPr>
          <t xml:space="preserve">
Se reciben </t>
        </r>
        <r>
          <rPr>
            <b/>
            <sz val="9"/>
            <color indexed="81"/>
            <rFont val="Tahoma"/>
            <family val="2"/>
          </rPr>
          <t>$4.300.000 del rubro A-02-02-02-008-003-01</t>
        </r>
        <r>
          <rPr>
            <sz val="9"/>
            <color indexed="81"/>
            <rFont val="Tahoma"/>
            <family val="2"/>
          </rPr>
          <t xml:space="preserve"> "SERVICIO DE SOPORTE Y MANTENIMIENTO ESPECIALIZADO SOBRE LA INFRAESTRUCTURA TECNOLÓGICA DEL INSTITUTO DE CASAS FISCALES
DEL EJÉRCITO". Según oficio  radicado 
se reciben </t>
        </r>
        <r>
          <rPr>
            <b/>
            <sz val="9"/>
            <color indexed="81"/>
            <rFont val="Tahoma"/>
            <family val="2"/>
          </rPr>
          <t>$4.300.000</t>
        </r>
        <r>
          <rPr>
            <sz val="9"/>
            <color indexed="81"/>
            <rFont val="Tahoma"/>
            <family val="2"/>
          </rPr>
          <t xml:space="preserve"> del rubro</t>
        </r>
        <r>
          <rPr>
            <b/>
            <sz val="9"/>
            <color indexed="81"/>
            <rFont val="Tahoma"/>
            <family val="2"/>
          </rPr>
          <t xml:space="preserve"> A-02-02-02-008-003</t>
        </r>
        <r>
          <rPr>
            <sz val="9"/>
            <color indexed="81"/>
            <rFont val="Tahoma"/>
            <family val="2"/>
          </rPr>
          <t xml:space="preserve"> PRESTAR CON PLENA AUTONOMÍA ADMINISTRATIVA LOS SERVICIOS PROFESIONALES DE UN ESPECIALISTA PARA LA ELABORACIÓN DE LOS INFORMES DE LEY COMO APOYO DE LA OFICINA DE CONTROL INTERNO DEL INSTITUTO DE CASAS FISCALES DEL EJÉRCITO. Se</t>
        </r>
        <r>
          <rPr>
            <b/>
            <sz val="9"/>
            <color indexed="81"/>
            <rFont val="Tahoma"/>
            <family val="2"/>
          </rPr>
          <t>gún oficio radicado I-2025-19034 Id: 173992</t>
        </r>
      </text>
    </comment>
    <comment ref="S147" authorId="1" shapeId="0" xr:uid="{63A3AF28-E847-4162-BFF0-6BACB998E9F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48" authorId="1" shapeId="0" xr:uid="{D5675A97-63A3-4E8E-8C6C-7CFFDC3F70A4}">
      <text>
        <r>
          <rPr>
            <b/>
            <sz val="9"/>
            <color indexed="81"/>
            <rFont val="Tahoma"/>
            <family val="2"/>
          </rPr>
          <t>Ángela Gisell Pérez Barón:</t>
        </r>
        <r>
          <rPr>
            <sz val="9"/>
            <color indexed="81"/>
            <rFont val="Tahoma"/>
            <family val="2"/>
          </rPr>
          <t xml:space="preserve">
Se reciben $4.300.000 del rubro A-02-02-02-008-003-01 "SERVICIO DE SOPORTE Y MANTENIMIENTO ESPECIALIZADO SOBRE LA INFRAESTRUCTURA TECNOLÓGICA DEL INSTITUTO DE CASAS FISCALES
DEL EJÉRCITO". Según oficio  radicado </t>
        </r>
      </text>
    </comment>
    <comment ref="S149" authorId="1" shapeId="0" xr:uid="{858AABB7-EAD3-43CD-98B6-7F63A94FE80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$13,600,000 </t>
        </r>
        <r>
          <rPr>
            <sz val="9"/>
            <color indexed="81"/>
            <rFont val="Tahoma"/>
            <family val="2"/>
          </rPr>
          <t>del rubro SERVICIOS RELACIONADOS CON LA CONVERSIÓN, ALMACENAMIENTO Y ARCHIVO DE PLANOS Y DOCUMENTOS EN FORMATO DIGITAL</t>
        </r>
        <r>
          <rPr>
            <b/>
            <sz val="9"/>
            <color indexed="81"/>
            <rFont val="Tahoma"/>
            <family val="2"/>
          </rPr>
          <t>.Según oficio Radicado I-2025-19034 Id: 173992</t>
        </r>
      </text>
    </comment>
    <comment ref="S150" authorId="1" shapeId="0" xr:uid="{376AD697-D760-49A1-BE89-491741329917}">
      <text>
        <r>
          <rPr>
            <b/>
            <sz val="9"/>
            <color indexed="81"/>
            <rFont val="Tahoma"/>
            <family val="2"/>
          </rPr>
          <t xml:space="preserve">Ángela Gisell Pérez Barón
</t>
        </r>
        <r>
          <rPr>
            <sz val="9"/>
            <color indexed="81"/>
            <rFont val="Tahoma"/>
            <family val="2"/>
          </rPr>
          <t xml:space="preserve">SE TRALADA </t>
        </r>
        <r>
          <rPr>
            <b/>
            <sz val="9"/>
            <color indexed="81"/>
            <rFont val="Tahoma"/>
            <family val="2"/>
          </rPr>
          <t>$6.300.000 PRESTAR C</t>
        </r>
        <r>
          <rPr>
            <sz val="9"/>
            <color indexed="81"/>
            <rFont val="Tahoma"/>
            <family val="2"/>
          </rPr>
          <t xml:space="preserve">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TRALADA</t>
        </r>
        <r>
          <rPr>
            <b/>
            <sz val="9"/>
            <color indexed="81"/>
            <rFont val="Tahoma"/>
            <family val="2"/>
          </rPr>
          <t xml:space="preserve"> $6.300.000 </t>
        </r>
        <r>
          <rPr>
            <sz val="9"/>
            <color indexed="81"/>
            <rFont val="Tahoma"/>
            <family val="2"/>
          </rPr>
          <t xml:space="preserve">PRESTAR CON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TRASLADAN</t>
        </r>
        <r>
          <rPr>
            <b/>
            <sz val="9"/>
            <color indexed="81"/>
            <rFont val="Tahoma"/>
            <family val="2"/>
          </rPr>
          <t xml:space="preserve"> $10800000 </t>
        </r>
        <r>
          <rPr>
            <sz val="9"/>
            <color indexed="81"/>
            <rFont val="Tahoma"/>
            <family val="2"/>
          </rPr>
          <t xml:space="preserve">AL RUBRO PRESTACIÓN DE SERVICIO PARA APOYO ADMINISTRATIVO AL ÁREA DE GESTIÓN DOCUMENTAL. </t>
        </r>
        <r>
          <rPr>
            <b/>
            <sz val="9"/>
            <color indexed="81"/>
            <rFont val="Tahoma"/>
            <family val="2"/>
          </rPr>
          <t xml:space="preserve">Según oficio Radicado I-2025-19034 Id: 173992
</t>
        </r>
        <r>
          <rPr>
            <sz val="9"/>
            <color indexed="81"/>
            <rFont val="Tahoma"/>
            <family val="2"/>
          </rPr>
          <t xml:space="preserve">SE TRASLADA </t>
        </r>
        <r>
          <rPr>
            <b/>
            <sz val="9"/>
            <color indexed="81"/>
            <rFont val="Tahoma"/>
            <family val="2"/>
          </rPr>
          <t xml:space="preserve">$13,600,000 </t>
        </r>
        <r>
          <rPr>
            <sz val="9"/>
            <color indexed="81"/>
            <rFont val="Tahoma"/>
            <family val="2"/>
          </rPr>
          <t>AL RUBRO PRESTAR LOS SERVICIOS DE APOYO A LA GESTIÓN DE UN TÉCNOLOGO, PARA REALIZAR LAS ACTIVIDADES DE ANALISIS, DEPURACION Y COMPROBACIÓN DE LA CARTERA DE LOS USUARIOS DEL INSTITUTO DE CASAS FISCALES DEL EJERCITO.</t>
        </r>
        <r>
          <rPr>
            <b/>
            <sz val="9"/>
            <color indexed="81"/>
            <rFont val="Tahoma"/>
            <family val="2"/>
          </rPr>
          <t>Según oficio Radicado I-2025-19034 Id: 173992</t>
        </r>
      </text>
    </comment>
    <comment ref="K151"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55" authorId="1" shapeId="0" xr:uid="{E795EA5C-B13E-4DAD-8F1E-CB46A2CCD613}">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$10.800.000 del rubro A-02-02-02-008-003 </t>
        </r>
        <r>
          <rPr>
            <sz val="9"/>
            <color indexed="81"/>
            <rFont val="Tahoma"/>
            <family val="2"/>
          </rPr>
          <t xml:space="preserve">SERVICIOS RELACIONADOS CON LA CONVERSIÓN, ALMACENAMIENTO Y ARCHIVO DE PLANOS Y DOCUMENTOS EN FORMATO DIGITAL. </t>
        </r>
        <r>
          <rPr>
            <b/>
            <sz val="9"/>
            <color indexed="81"/>
            <rFont val="Tahoma"/>
            <family val="2"/>
          </rPr>
          <t xml:space="preserve">Según oficio Radicado I-2025-19034 Id: 173992
</t>
        </r>
      </text>
    </comment>
    <comment ref="S156" authorId="1" shapeId="0" xr:uid="{BF0D4BC5-CDED-4535-83D1-CED917C1F71A}">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$2.700.000 </t>
        </r>
        <r>
          <rPr>
            <sz val="9"/>
            <color indexed="81"/>
            <rFont val="Tahoma"/>
            <family val="2"/>
          </rPr>
          <t xml:space="preserve">del rubro </t>
        </r>
        <r>
          <rPr>
            <b/>
            <sz val="9"/>
            <color indexed="81"/>
            <rFont val="Tahoma"/>
            <family val="2"/>
          </rPr>
          <t>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57" authorId="1" shapeId="0" xr:uid="{C917F6FD-0EE4-48D8-973A-6ED8D2DCACA5}">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$3.600.000 del rubro  A-02-02-02-008-003 </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egíun oficio Radicado I-2025-19034 Id: 173992</t>
        </r>
        <r>
          <rPr>
            <sz val="9"/>
            <color indexed="81"/>
            <rFont val="Tahoma"/>
            <family val="2"/>
          </rPr>
          <t xml:space="preserve">
</t>
        </r>
      </text>
    </comment>
    <comment ref="S158" authorId="1" shapeId="0" xr:uid="{FC622A7F-3BEC-48D1-8036-73F0BF262FDC}">
      <text>
        <r>
          <rPr>
            <b/>
            <sz val="9"/>
            <color indexed="81"/>
            <rFont val="Tahoma"/>
            <family val="2"/>
          </rPr>
          <t xml:space="preserve">Ángela Gisell Pérez Barón:
</t>
        </r>
        <r>
          <rPr>
            <sz val="9"/>
            <color indexed="81"/>
            <rFont val="Tahoma"/>
            <family val="2"/>
          </rPr>
          <t xml:space="preserve">
Se reciben $1.800.000 del rubro A-02-02-02-008-003-01 "SERVICIO DE SOPORTE Y MANTENIMIENTO ESPECIALIZADO SOBRE LA INFRAESTRUCTURA TECNOLÓGICA DEL INSTITUTO DE CASAS FISCALES DEL EJÉRCITO". Según oficio  radicado </t>
        </r>
      </text>
    </comment>
    <comment ref="R159"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S159" authorId="1" shapeId="0" xr:uid="{AA58941A-87DC-46D3-9C38-2D623BBA1DD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$1.800.000 </t>
        </r>
        <r>
          <rPr>
            <sz val="9"/>
            <color indexed="81"/>
            <rFont val="Tahoma"/>
            <family val="2"/>
          </rPr>
          <t>del rubro</t>
        </r>
        <r>
          <rPr>
            <b/>
            <sz val="9"/>
            <color indexed="81"/>
            <rFont val="Tahoma"/>
            <family val="2"/>
          </rPr>
          <t xml:space="preserve">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60"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60" authorId="1" shapeId="0" xr:uid="{A79EEB7D-DE5D-4920-A5BC-5D4F65F54133}">
      <text>
        <r>
          <rPr>
            <b/>
            <sz val="9"/>
            <color indexed="81"/>
            <rFont val="Tahoma"/>
            <family val="2"/>
          </rPr>
          <t>Ángela Gisell Pérez Barón:</t>
        </r>
        <r>
          <rPr>
            <sz val="9"/>
            <color indexed="81"/>
            <rFont val="Tahoma"/>
            <family val="2"/>
          </rPr>
          <t xml:space="preserve">
 Se reciben </t>
        </r>
        <r>
          <rPr>
            <b/>
            <sz val="9"/>
            <color indexed="81"/>
            <rFont val="Tahoma"/>
            <family val="2"/>
          </rPr>
          <t>$6.000.000</t>
        </r>
        <r>
          <rPr>
            <sz val="9"/>
            <color indexed="81"/>
            <rFont val="Tahoma"/>
            <family val="2"/>
          </rPr>
          <t xml:space="preserve"> del </t>
        </r>
        <r>
          <rPr>
            <b/>
            <sz val="9"/>
            <color indexed="81"/>
            <rFont val="Tahoma"/>
            <family val="2"/>
          </rPr>
          <t>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69"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3"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4" authorId="1" shapeId="0" xr:uid="{00000000-0006-0000-0000-000021000000}">
      <text>
        <r>
          <rPr>
            <b/>
            <sz val="9"/>
            <color indexed="81"/>
            <rFont val="Tahoma"/>
            <family val="2"/>
          </rPr>
          <t>Ángela Gisell Pérez Barón:</t>
        </r>
        <r>
          <rPr>
            <sz val="9"/>
            <color indexed="81"/>
            <rFont val="Tahoma"/>
            <family val="2"/>
          </rPr>
          <t xml:space="preserve">
Se reciben $</t>
        </r>
        <r>
          <rPr>
            <b/>
            <sz val="9"/>
            <color indexed="81"/>
            <rFont val="Tahoma"/>
            <family val="2"/>
          </rPr>
          <t>21.600.000 del rubro A-02-02-02-008-007</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(Vigencis futuras 2025). Segun oficio I-2025-01840 ID 144755.
</t>
        </r>
        <r>
          <rPr>
            <b/>
            <sz val="9"/>
            <color indexed="81"/>
            <rFont val="Tahoma"/>
            <family val="2"/>
          </rPr>
          <t xml:space="preserve">Se reciben $3.600.000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80"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SE RECIBEN $12613184 DEL RUBRO </t>
        </r>
      </text>
    </comment>
    <comment ref="R181"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182"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2"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188"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8"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M201"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S204" authorId="1" shapeId="0" xr:uid="{A5904F8D-A33A-468E-A452-3001545B897C}">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$30.000.000 al rubro  A-02-02-02-006-009-01 </t>
        </r>
        <r>
          <rPr>
            <sz val="9"/>
            <color indexed="81"/>
            <rFont val="Tahoma"/>
            <family val="2"/>
          </rPr>
          <t xml:space="preserve">"SUMINISTRO DE GAS NATURAL Y SUMINISTRO DE ELECTRICIDAD MONOFÁSICA" </t>
        </r>
        <r>
          <rPr>
            <b/>
            <sz val="9"/>
            <color indexed="81"/>
            <rFont val="Tahoma"/>
            <family val="2"/>
          </rPr>
          <t>Según oficio radicado I-2025-19173 ID:174424</t>
        </r>
      </text>
    </comment>
    <comment ref="M213"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19"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20"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23" authorId="1" shapeId="0" xr:uid="{A9788455-EA7D-4662-8B71-425C6C9D499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$3.855.581 </t>
        </r>
        <r>
          <rPr>
            <sz val="9"/>
            <color indexed="81"/>
            <rFont val="Tahoma"/>
            <family val="2"/>
          </rPr>
          <t>al rubro A-05-01-01-004-002 ADQUISICION DE GABINETES Y ELEMENTOS
CONTRA INCENDIO PARA LA ATENCION DE
EMERGENCIAS DE LOS CONJUNTOS
RESIDENCIALES DEL INSTITUTO DE CASAS
FISCALES DEL EJÉRCITO A NIVEL NACIONAL. de acuerdo a oficiob radicado</t>
        </r>
        <r>
          <rPr>
            <b/>
            <sz val="9"/>
            <color indexed="81"/>
            <rFont val="Tahoma"/>
            <family val="2"/>
          </rPr>
          <t xml:space="preserve"> I-2025-17993 Id: 171343</t>
        </r>
      </text>
    </comment>
    <comment ref="S226" authorId="1" shapeId="0" xr:uid="{DA2B7967-B209-4652-8DEC-F38C23A6E84D}">
      <text>
        <r>
          <rPr>
            <b/>
            <sz val="9"/>
            <color indexed="81"/>
            <rFont val="Tahoma"/>
            <family val="2"/>
          </rPr>
          <t>Ángela Gisell Pérez Barón:</t>
        </r>
        <r>
          <rPr>
            <sz val="9"/>
            <color indexed="81"/>
            <rFont val="Tahoma"/>
            <family val="2"/>
          </rPr>
          <t xml:space="preserve">
Se reciben </t>
        </r>
        <r>
          <rPr>
            <b/>
            <sz val="9"/>
            <color indexed="81"/>
            <rFont val="Tahoma"/>
            <family val="2"/>
          </rPr>
          <t>119.900.000 del rubro A-05-01-01-004-002 "</t>
        </r>
        <r>
          <rPr>
            <sz val="9"/>
            <color indexed="81"/>
            <rFont val="Tahoma"/>
            <family val="2"/>
          </rPr>
          <t>ADQUISICIÓN DE ANDAMIOS
MULTIDIRECCIONALES CERTIFICADOS PARA
EL INSTITUTO DE CASAS FISCALES DEL
EJERCITO A NIVEL NACIONAL." Según oficio radicado I-2025-19557 ID:175404</t>
        </r>
      </text>
    </comment>
    <comment ref="M229" authorId="1" shapeId="0" xr:uid="{2D443563-E5AB-4BE8-9CCF-B9755FBBE475}">
      <text>
        <r>
          <rPr>
            <b/>
            <sz val="9"/>
            <color indexed="81"/>
            <rFont val="Tahoma"/>
            <family val="2"/>
          </rPr>
          <t>Ángela Gisell Pérez Barón:</t>
        </r>
        <r>
          <rPr>
            <sz val="9"/>
            <color indexed="81"/>
            <rFont val="Tahoma"/>
            <family val="2"/>
          </rPr>
          <t xml:space="preserve">
Se realiza cambio de elemento  de " SUMINISTRO E INSTALACIÓN DE VIDRIOS CRUDOS, TEMPLADOS Y CARPINTERÍA EN ALUMINIO  PARA EL MANTENIMIENTO  DE LAS VIVIENDAS FISCALES DEL INSTITUTO DE CASAS FISCALES DEL EJÉRCITO A NIVEL NACIONAL"</t>
        </r>
        <r>
          <rPr>
            <b/>
            <sz val="9"/>
            <color indexed="81"/>
            <rFont val="Tahoma"/>
            <family val="2"/>
          </rPr>
          <t xml:space="preserve">  por </t>
        </r>
        <r>
          <rPr>
            <sz val="9"/>
            <color indexed="81"/>
            <rFont val="Tahoma"/>
            <family val="2"/>
          </rPr>
          <t xml:space="preserve">"SUMINISTRO  DE VIDRIOS TEMPLADOS, ESPEJOS Y ACCESORIOS PARA  MECANISMOS DE VIDRIO, PARA EL MANTENIMIENTO  DE LAS VIVIENDAS FISCALES DEL INSTITUTO DE CASAS FIOSCALES DELEJÉRCITO. " </t>
        </r>
        <r>
          <rPr>
            <b/>
            <sz val="9"/>
            <color indexed="81"/>
            <rFont val="Tahoma"/>
            <family val="2"/>
          </rPr>
          <t>Según oficio Radicado I-2025-19019 Id: 173962</t>
        </r>
      </text>
    </comment>
    <comment ref="S232"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ficio I-2025-01669 ID:144353
Se traslada $119.900.000 al rubro A-05-01-01-003-006 "A</t>
        </r>
        <r>
          <rPr>
            <sz val="9"/>
            <color indexed="81"/>
            <rFont val="Tahoma"/>
            <family val="2"/>
          </rPr>
          <t>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r>
        <r>
          <rPr>
            <b/>
            <sz val="9"/>
            <color indexed="81"/>
            <rFont val="Tahoma"/>
            <family val="2"/>
          </rPr>
          <t>." Según oficio radicado I-2025-19557 Id: 175404 
Se trasladan $17.200.000 al rubro A-05-01-02-008-003 "</t>
        </r>
        <r>
          <rPr>
            <sz val="9"/>
            <color indexed="81"/>
            <rFont val="Tahoma"/>
            <family val="2"/>
          </rPr>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EJÉRCITO."I</t>
        </r>
        <r>
          <rPr>
            <b/>
            <sz val="9"/>
            <color indexed="81"/>
            <rFont val="Tahoma"/>
            <family val="2"/>
          </rPr>
          <t>-2025-19557 Id: 175404
Se trasladan $17.200.000 al rubro A-05-01-02-008-003 "P</t>
        </r>
        <r>
          <rPr>
            <sz val="9"/>
            <color indexed="81"/>
            <rFont val="Tahoma"/>
            <family val="2"/>
          </rPr>
          <t>RESTACIÓN DE  PRESTACIÓN DE SERVICIOS PROFESIONALES DE APOYO A LA GESTIÓN PARA REALIZAR
“PARA LA IMPLEMENTACIÓN DEL SISTEMA DE GESTIÓN AMBIENTAL NACIONAL CON OTROS SISTEMAS DE GESTIÓN DEL INSTITUTO DE CASAS FISCALES DEL EJÉRCITO</t>
        </r>
        <r>
          <rPr>
            <b/>
            <sz val="9"/>
            <color indexed="81"/>
            <rFont val="Tahoma"/>
            <family val="2"/>
          </rPr>
          <t>" segun oficio radicado I-2025-19557 Id: 175404</t>
        </r>
      </text>
    </comment>
    <comment ref="S233" authorId="1" shapeId="0" xr:uid="{42146723-0C86-4C2B-B08A-161E3AD43E2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$3.855.581 del </t>
        </r>
        <r>
          <rPr>
            <sz val="9"/>
            <color indexed="81"/>
            <rFont val="Tahoma"/>
            <family val="2"/>
          </rPr>
          <t xml:space="preserve">rubro A-05-01-01-003-006 ADQUISICION DE GABINETES Y ELEMENTOS
CONTRA INCENDIO PARA LA ATENCION DE
EMERGENCIAS DE LOS CONJUNTOS
RESIDENCIALES DEL INSTITUTO DE CASAS
FISCALES DEL EJÉRCITO A NIVEL NACIONAL de acuerdo a oficio radicado </t>
        </r>
        <r>
          <rPr>
            <b/>
            <sz val="9"/>
            <color indexed="81"/>
            <rFont val="Tahoma"/>
            <family val="2"/>
          </rPr>
          <t>I-2025-17993 Id: 171343</t>
        </r>
      </text>
    </comment>
    <comment ref="M235"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38"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8"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43"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44" authorId="1" shapeId="0" xr:uid="{AFF49262-0199-4887-9362-0831BE3A5A8D}">
      <text>
        <r>
          <rPr>
            <b/>
            <sz val="9"/>
            <color indexed="81"/>
            <rFont val="Tahoma"/>
            <family val="2"/>
          </rPr>
          <t>Ángela Gisell Pérez Barón:</t>
        </r>
        <r>
          <rPr>
            <sz val="9"/>
            <color indexed="81"/>
            <rFont val="Tahoma"/>
            <family val="2"/>
          </rPr>
          <t xml:space="preserve">
Se reciben </t>
        </r>
        <r>
          <rPr>
            <b/>
            <sz val="9"/>
            <color indexed="81"/>
            <rFont val="Tahoma"/>
            <family val="2"/>
          </rPr>
          <t>$12.613.184</t>
        </r>
        <r>
          <rPr>
            <sz val="9"/>
            <color indexed="81"/>
            <rFont val="Tahoma"/>
            <family val="2"/>
          </rPr>
          <t xml:space="preserve"> del r</t>
        </r>
        <r>
          <rPr>
            <b/>
            <sz val="9"/>
            <color indexed="81"/>
            <rFont val="Tahoma"/>
            <family val="2"/>
          </rPr>
          <t>ubro A-05-01-02-008-005</t>
        </r>
        <r>
          <rPr>
            <sz val="9"/>
            <color indexed="81"/>
            <rFont val="Tahoma"/>
            <family val="2"/>
          </rPr>
          <t xml:space="preserve"> "SERVICIO DE VIGILANCIA Y SEGURIDAD PRIVADA SIN ARMAS PARA EL CONJUNTO RESIDENCIAL. Según oficio Radicado </t>
        </r>
        <r>
          <rPr>
            <b/>
            <sz val="9"/>
            <color indexed="81"/>
            <rFont val="Tahoma"/>
            <family val="2"/>
          </rPr>
          <t>I-2025-19019 Id: 173962</t>
        </r>
        <r>
          <rPr>
            <sz val="9"/>
            <color indexed="81"/>
            <rFont val="Tahoma"/>
            <family val="2"/>
          </rPr>
          <t xml:space="preserve">
se reciben  </t>
        </r>
        <r>
          <rPr>
            <b/>
            <sz val="9"/>
            <color indexed="81"/>
            <rFont val="Tahoma"/>
            <family val="2"/>
          </rPr>
          <t>$88.204.927,27</t>
        </r>
        <r>
          <rPr>
            <sz val="9"/>
            <color indexed="81"/>
            <rFont val="Tahoma"/>
            <family val="2"/>
          </rPr>
          <t xml:space="preserve"> del rubro A-05-01-02-008-005 "SERVIVIOS DE LIMPIEZA Y ASEO AREAS COMUNES  DE VIVIENDAS FISCALES DE LA CIUDAD DE BOGOTA (Vigencias futuras 2025). </t>
        </r>
        <r>
          <rPr>
            <b/>
            <sz val="9"/>
            <color indexed="81"/>
            <rFont val="Tahoma"/>
            <family val="2"/>
          </rPr>
          <t xml:space="preserve">Según oficio Radicado I-2025-19019 Id: 173962
</t>
        </r>
        <r>
          <rPr>
            <sz val="9"/>
            <color indexed="81"/>
            <rFont val="Tahoma"/>
            <family val="2"/>
          </rPr>
          <t xml:space="preserve">
Se reciben </t>
        </r>
        <r>
          <rPr>
            <b/>
            <sz val="9"/>
            <color indexed="81"/>
            <rFont val="Tahoma"/>
            <family val="2"/>
          </rPr>
          <t xml:space="preserve">$11.822.374,43 </t>
        </r>
        <r>
          <rPr>
            <sz val="9"/>
            <color indexed="81"/>
            <rFont val="Tahoma"/>
            <family val="2"/>
          </rPr>
          <t>del rubro A-05-01-02-008-005 "SERVICIOS DE LIMPIEZA Y ASEO DE ÁREAS COMUNES DE VIVIENDAS FISCALES DE LAS SECCIONALES BUCARAMANGA, CALI, TOLEMAIDA Y VILLAVICENCIO   (Vigencias futuras 2025)".</t>
        </r>
        <r>
          <rPr>
            <b/>
            <sz val="9"/>
            <color indexed="81"/>
            <rFont val="Tahoma"/>
            <family val="2"/>
          </rPr>
          <t>Según oficio Radicado I-2025-19019 Id: 173962</t>
        </r>
        <r>
          <rPr>
            <sz val="9"/>
            <color indexed="81"/>
            <rFont val="Tahoma"/>
            <family val="2"/>
          </rPr>
          <t xml:space="preserve">
Se reciben </t>
        </r>
        <r>
          <rPr>
            <b/>
            <sz val="9"/>
            <color indexed="81"/>
            <rFont val="Tahoma"/>
            <family val="2"/>
          </rPr>
          <t>$9.970.000 del rubro A-05-01-02-005-004</t>
        </r>
        <r>
          <rPr>
            <sz val="9"/>
            <color indexed="81"/>
            <rFont val="Tahoma"/>
            <family val="2"/>
          </rPr>
          <t xml:space="preserve"> "PRESTAR LOS SERVICIOS TÉCNICOS DE INSTALACIONES DE ELEMENTOS DE SISTEMAS DE CONTROL DE ACCESO PEATONAL Y VEHICULAR PARA LOS CONJUNTOS RESIDENCIALES DEL INSTITUTO DE CASAS FISCALESDEL EJÉRCITO". </t>
        </r>
        <r>
          <rPr>
            <b/>
            <sz val="9"/>
            <color indexed="81"/>
            <rFont val="Tahoma"/>
            <family val="2"/>
          </rPr>
          <t>Según oficio Radicado I-2025-19019 Id: 173962</t>
        </r>
        <r>
          <rPr>
            <sz val="9"/>
            <color indexed="81"/>
            <rFont val="Tahoma"/>
            <family val="2"/>
          </rPr>
          <t xml:space="preserve">
Se reciben </t>
        </r>
        <r>
          <rPr>
            <b/>
            <sz val="9"/>
            <color indexed="81"/>
            <rFont val="Tahoma"/>
            <family val="2"/>
          </rPr>
          <t xml:space="preserve">$37.600.000 del rubro A-05-01-02-005-004 </t>
        </r>
        <r>
          <rPr>
            <sz val="9"/>
            <color indexed="81"/>
            <rFont val="Tahoma"/>
            <family val="2"/>
          </rPr>
          <t>" prestar los ervicios de actividades de instalación y mantenimiento de cubiertas de las viviendas fiscales a nivel nacional."</t>
        </r>
        <r>
          <rPr>
            <b/>
            <sz val="9"/>
            <color indexed="81"/>
            <rFont val="Tahoma"/>
            <family val="2"/>
          </rPr>
          <t xml:space="preserve">Según oficio Radicado I-2025-19019 Id: 173962
Se reciben $ 51.070.000  del rubro A-05-01-02-005-004-05 </t>
        </r>
        <r>
          <rPr>
            <sz val="9"/>
            <color indexed="81"/>
            <rFont val="Tahoma"/>
            <family val="2"/>
          </rPr>
          <t xml:space="preserve">MANTENIMIENTO PREVENTIVO Y CORRECTIVO CON SUMINISTRO E INSTALACIÓN DE REPUESTOS, ASI COMO LA CERTIFICACIÓN DE ACUERDO A LA NORMA NTC 5926-1:2021  DE LOS ASCENSORES DEL INSTITUTO DE CASAS FISCALES DEL EJÉRCITO (Para tramitar vigencias futuras 2026). </t>
        </r>
        <r>
          <rPr>
            <b/>
            <sz val="9"/>
            <color indexed="81"/>
            <rFont val="Tahoma"/>
            <family val="2"/>
          </rPr>
          <t xml:space="preserve">SEGUN OFICIO RADICADO  I-2025-19530 ID:175348
</t>
        </r>
      </text>
    </comment>
    <comment ref="S245"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
Se trasladan </t>
        </r>
        <r>
          <rPr>
            <b/>
            <sz val="9"/>
            <color indexed="81"/>
            <rFont val="Tahoma"/>
            <family val="2"/>
          </rPr>
          <t>$51.070.000 al rubro A-05-01-02-005-004 -05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SEGUN OFICIO RADICADO  I-2025-19530 ID:175348</t>
        </r>
      </text>
    </comment>
    <comment ref="S246" authorId="1" shapeId="0" xr:uid="{8AB57D61-92FE-403E-AF63-5BA87195A876}">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 90.800.000  del rubro A-05-01-02-005-004-05  </t>
        </r>
        <r>
          <rPr>
            <sz val="9"/>
            <color indexed="81"/>
            <rFont val="Tahoma"/>
            <family val="2"/>
          </rPr>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 S</t>
        </r>
        <r>
          <rPr>
            <b/>
            <sz val="9"/>
            <color indexed="81"/>
            <rFont val="Tahoma"/>
            <family val="2"/>
          </rPr>
          <t>EGUN OFICIO RADICADO  I-2025-19530 ID:175348</t>
        </r>
        <r>
          <rPr>
            <sz val="9"/>
            <color indexed="81"/>
            <rFont val="Tahoma"/>
            <family val="2"/>
          </rPr>
          <t xml:space="preserve">
</t>
        </r>
        <r>
          <rPr>
            <b/>
            <sz val="9"/>
            <color indexed="81"/>
            <rFont val="Tahoma"/>
            <family val="2"/>
          </rPr>
          <t xml:space="preserve">
Se reciben $31.800.000 del rubro A-05-01-02-005-004-05 </t>
        </r>
        <r>
          <rPr>
            <sz val="9"/>
            <color indexed="81"/>
            <rFont val="Tahoma"/>
            <family val="2"/>
          </rPr>
          <t xml:space="preserve">"SERVICIO DE MANTENIMIENTO PREVENTIVO Y CORRECTIVO DE LOS SISTEMAS: NEUMATICO, VENTILACION MECÁNICA y CONTRA INCENDIO DEL EDIFICIO DE TALLERES DEL INSTITUTO DE CASAS FISCALES DEL EJÉRCITO" </t>
        </r>
        <r>
          <rPr>
            <b/>
            <sz val="9"/>
            <color indexed="81"/>
            <rFont val="Tahoma"/>
            <family val="2"/>
          </rPr>
          <t>SEGUN OFICIO RADICADO  I-2025-19530 ID:175348"</t>
        </r>
      </text>
    </comment>
    <comment ref="S247" authorId="1" shapeId="0" xr:uid="{84B247E0-E280-40AC-845A-D055EA60ADF0}">
      <text>
        <r>
          <rPr>
            <b/>
            <sz val="9"/>
            <color indexed="81"/>
            <rFont val="Tahoma"/>
            <family val="2"/>
          </rPr>
          <t>Ángela Gisell Pérez Barón:</t>
        </r>
        <r>
          <rPr>
            <sz val="9"/>
            <color indexed="81"/>
            <rFont val="Tahoma"/>
            <family val="2"/>
          </rPr>
          <t xml:space="preserve">
Se trasladan </t>
        </r>
        <r>
          <rPr>
            <b/>
            <sz val="9"/>
            <color indexed="81"/>
            <rFont val="Tahoma"/>
            <family val="2"/>
          </rPr>
          <t>$90.800.000 al rubro A-05-01-02-005-004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RADICADO  I-2025-19530 ID:175348</t>
        </r>
      </text>
    </comment>
    <comment ref="S249" authorId="1" shapeId="0" xr:uid="{280650EC-CF27-4B60-9595-D871AF686E35}">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31.800.000 </t>
        </r>
        <r>
          <rPr>
            <sz val="9"/>
            <color indexed="81"/>
            <rFont val="Tahoma"/>
            <family val="2"/>
          </rPr>
          <t xml:space="preserve">al rubro A-05-01-02-005-004 "MANTENIMIENTO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t>
        </r>
        <r>
          <rPr>
            <b/>
            <sz val="9"/>
            <color indexed="81"/>
            <rFont val="Tahoma"/>
            <family val="2"/>
          </rPr>
          <t>RADICADO I-2025-19530 ID:175348</t>
        </r>
      </text>
    </comment>
    <comment ref="S254"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6"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6"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56"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7"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7"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8"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
Se traslada $9.970.000 al rubro A-05-01-02-005-004 -006"</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Según oficio radicado  I-2025-19019 ID: 173962</t>
        </r>
      </text>
    </comment>
    <comment ref="S262"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63"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S264" authorId="1" shapeId="0" xr:uid="{F38AF658-8A29-4975-B433-FF230AEB3343}">
      <text>
        <r>
          <rPr>
            <b/>
            <sz val="9"/>
            <color indexed="81"/>
            <rFont val="Tahoma"/>
            <family val="2"/>
          </rPr>
          <t>Ángela Gisell Pérez Barón:</t>
        </r>
        <r>
          <rPr>
            <sz val="9"/>
            <color indexed="81"/>
            <rFont val="Tahoma"/>
            <family val="2"/>
          </rPr>
          <t xml:space="preserve">
Se trasladan </t>
        </r>
        <r>
          <rPr>
            <b/>
            <sz val="9"/>
            <color indexed="81"/>
            <rFont val="Tahoma"/>
            <family val="2"/>
          </rPr>
          <t>$37.600.000 del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 futuras 2025)" S</t>
        </r>
        <r>
          <rPr>
            <b/>
            <sz val="9"/>
            <color indexed="81"/>
            <rFont val="Tahoma"/>
            <family val="2"/>
          </rPr>
          <t>egún oficio radicado  I-2025-19019 ID: 173962</t>
        </r>
      </text>
    </comment>
    <comment ref="M268"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5"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S286" authorId="1" shapeId="0" xr:uid="{F80AF4D1-6850-40BF-A05C-6340172C2071}">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$17.200.000</t>
        </r>
        <r>
          <rPr>
            <sz val="9"/>
            <color indexed="81"/>
            <rFont val="Tahoma"/>
            <family val="2"/>
          </rPr>
          <t xml:space="preserve"> del rubro </t>
        </r>
        <r>
          <rPr>
            <b/>
            <sz val="9"/>
            <color indexed="81"/>
            <rFont val="Tahoma"/>
            <family val="2"/>
          </rPr>
          <t xml:space="preserve">A-05-01-01-004-002 </t>
        </r>
        <r>
          <rPr>
            <sz val="9"/>
            <color indexed="81"/>
            <rFont val="Tahoma"/>
            <family val="2"/>
          </rPr>
          <t>"ADQUISICIÓN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S287" authorId="1" shapeId="0" xr:uid="{9CF362A1-5E13-439E-BBA8-EDE658AC85DC}">
      <text>
        <r>
          <rPr>
            <b/>
            <sz val="9"/>
            <color indexed="81"/>
            <rFont val="Tahoma"/>
            <family val="2"/>
          </rPr>
          <t>Ángela Gisell Pérez Barón:</t>
        </r>
        <r>
          <rPr>
            <sz val="9"/>
            <color indexed="81"/>
            <rFont val="Tahoma"/>
            <family val="2"/>
          </rPr>
          <t xml:space="preserve">
</t>
        </r>
        <r>
          <rPr>
            <b/>
            <sz val="9"/>
            <color indexed="81"/>
            <rFont val="Tahoma"/>
            <family val="2"/>
          </rPr>
          <t>Se reciben $17.200.000</t>
        </r>
        <r>
          <rPr>
            <sz val="9"/>
            <color indexed="81"/>
            <rFont val="Tahoma"/>
            <family val="2"/>
          </rPr>
          <t xml:space="preserve"> del rubro A-05-01-01-004-002 "ADQUISICIÓN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M288"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288"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8"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93"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$20.596.726 </t>
        </r>
        <r>
          <rPr>
            <sz val="9"/>
            <color indexed="81"/>
            <rFont val="Tahoma"/>
            <family val="2"/>
          </rPr>
          <t>del rubro</t>
        </r>
        <r>
          <rPr>
            <b/>
            <sz val="9"/>
            <color indexed="81"/>
            <rFont val="Tahoma"/>
            <family val="2"/>
          </rPr>
          <t xml:space="preserve"> A-05-01-02-005-004 ITEM 0</t>
        </r>
        <r>
          <rPr>
            <sz val="9"/>
            <color indexed="81"/>
            <rFont val="Tahoma"/>
            <family val="2"/>
          </rPr>
          <t xml:space="preserve">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r>
          <rPr>
            <sz val="9"/>
            <color indexed="81"/>
            <rFont val="Tahoma"/>
            <family val="2"/>
          </rPr>
          <t xml:space="preserve">
Se trasladan </t>
        </r>
        <r>
          <rPr>
            <b/>
            <sz val="9"/>
            <color indexed="81"/>
            <rFont val="Tahoma"/>
            <family val="2"/>
          </rPr>
          <t xml:space="preserve">$12.613.184 </t>
        </r>
        <r>
          <rPr>
            <sz val="9"/>
            <color indexed="81"/>
            <rFont val="Tahoma"/>
            <family val="2"/>
          </rPr>
          <t>a</t>
        </r>
        <r>
          <rPr>
            <b/>
            <sz val="9"/>
            <color indexed="81"/>
            <rFont val="Tahoma"/>
            <family val="2"/>
          </rPr>
          <t>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(Vigencias futuras 2025) . Según oficio </t>
        </r>
        <r>
          <rPr>
            <b/>
            <sz val="9"/>
            <color indexed="81"/>
            <rFont val="Tahoma"/>
            <family val="2"/>
          </rPr>
          <t xml:space="preserve"> Radicado I-2025-19019 Id: 173962
</t>
        </r>
        <r>
          <rPr>
            <sz val="9"/>
            <color indexed="81"/>
            <rFont val="Tahoma"/>
            <family val="2"/>
          </rPr>
          <t xml:space="preserve">
</t>
        </r>
      </text>
    </comment>
    <comment ref="S294"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296"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
Se traslada $88.204.027,27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2025)"S</t>
        </r>
        <r>
          <rPr>
            <b/>
            <sz val="9"/>
            <color indexed="81"/>
            <rFont val="Tahoma"/>
            <family val="2"/>
          </rPr>
          <t>egún oficio Radicado I-2025-19019 Id: 173962</t>
        </r>
      </text>
    </comment>
    <comment ref="S298"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
SE TRALADAN $11.822.374,43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)"Según oficio Radicado I-2025-19019 Id: 173962</t>
        </r>
      </text>
    </comment>
    <comment ref="R306"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11"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37"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38"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39"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40"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41"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2"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42"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43"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44"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5"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45"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46"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47" authorId="1" shapeId="0" xr:uid="{8A53FB7B-38B3-4890-B734-6D7D59931823}">
      <text>
        <r>
          <rPr>
            <b/>
            <sz val="9"/>
            <color indexed="81"/>
            <rFont val="Tahoma"/>
            <family val="2"/>
          </rPr>
          <t>Ángela Gisell Pérez Barón:
SE CAMBIA EL NOMBRE DEL ELEMENTO DE "</t>
        </r>
        <r>
          <rPr>
            <sz val="9"/>
            <color indexed="81"/>
            <rFont val="Tahoma"/>
            <family val="2"/>
          </rPr>
          <t>MANTENIMIENTO A TODO COSTO DE LOS TANQUES DE RESERVA DE LOS EDIFICIOS DE APARTAMENTOS DE VIVIENDAS FISCALES PARA EL PERSONAL DE OFICIALES Y SUBOFICIALES EN BOGOTA Y A NIVEL NACIONAL." A " MANTENIMIENTO A TODO COSTO DE LOS TANQUES DE RESERVA DE LOS EDIFICIOS DE
APARTAMENTOS DE VIVIENDAS FISCALES PARA EL PERSONAL DE OFICIALES Y SUBOFICIALES EN BOGOTA" De acuerdo a Oficio radicado I-2025-18653 ID:172942</t>
        </r>
      </text>
    </comment>
    <comment ref="M348" authorId="1" shapeId="0" xr:uid="{F58B42C0-495A-42C1-97E2-4F666B58A4E6}">
      <text>
        <r>
          <rPr>
            <b/>
            <sz val="9"/>
            <color indexed="81"/>
            <rFont val="Tahoma"/>
            <family val="2"/>
          </rPr>
          <t>Ángela Gisell Pérez Barón:</t>
        </r>
        <r>
          <rPr>
            <sz val="9"/>
            <color indexed="81"/>
            <rFont val="Tahoma"/>
            <family val="2"/>
          </rPr>
          <t xml:space="preserve">
INTERVENTORÍA TÉCNICA, ADMINISTRATIVA, FINANCIERA, CONTABLE, JURÍDICA Y AMBIENTAL A LAS OBRAS DE MANTENIMIENTO A TODO COSTO DE LOS TANQUES DE RESERVA DE LOS EDIFICIOS DE APARTAMENTOS DE VIVIENDAS FISCALES PARA EL PERSONAL DE OFICIALES Y SUBOFICIALES EN BOGOTA Y A NIVEL NACIONALL." A " INTERVENTORÍA TÉCNICA, ADMINISTRATIVA, FINANCIERA, CONTABLE, JURÍDICA Y AMBIENTAL A LAS OBRAS DE MANTENIMIENTO A TODO COSTO DE LOS TANQUES DE RESERVA DE LOS EDIFICIOS DE APARTAMENTOS DE VIVIENDAS FISCALES PARA EL PERSONAL DE OFICIALES Y SUBOFICIALES EN BOGOTA." De acuerdo a Oficio radicado I-2025-18653 ID:172942</t>
        </r>
      </text>
    </comment>
    <comment ref="M359" authorId="1" shapeId="0" xr:uid="{613CA8ED-7AA8-444F-9465-4F27DC23C35B}">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DE UN INGENIERO FORESTAL, PARA LA ESTRUCTURACION DE LOS PROYECTOS DE CONSTRUCCION Y MANTENIMIENTO DE VIVIENDA FISCAL DEL GRUPO PROYECTOS DE INVERSIÓN DEL INSTITUTO DE CASAS FISCALES  por "PRESTACIÓN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 SEGUN OFICIO RADICADO I-2025-18745 ID: 173158</t>
        </r>
      </text>
    </comment>
    <comment ref="S360" authorId="1" shapeId="0" xr:uid="{790F17B1-8FC4-450C-88BE-38B50E9333E2}">
      <text>
        <r>
          <rPr>
            <b/>
            <sz val="9"/>
            <color indexed="81"/>
            <rFont val="Tahoma"/>
            <family val="2"/>
          </rPr>
          <t>Ángela Gisell Pérez Barón:</t>
        </r>
        <r>
          <rPr>
            <sz val="9"/>
            <color indexed="81"/>
            <rFont val="Tahoma"/>
            <family val="2"/>
          </rPr>
          <t xml:space="preserve">
Se traladan $24.000.000 al rubro C-1505-0100-3-20109B-1505006-02 "PRESTAR CON PLENA AUTONOMIA ADMINISTRATIVA LOS SERVICIOS PROFESIONALES DE UN ABOGADO ESPECIALISTA PARA EL GRUPO PROYECTOS DE INVERSIÓN DEL INSTITUTO DE CASAS FISCALES DEL EJÉRCITO." SEGUN OFICIO RADICADO I-2025-18653 ID:172942</t>
        </r>
      </text>
    </comment>
    <comment ref="S367" authorId="1" shapeId="0" xr:uid="{E3041FE5-1557-4E10-BE44-477616AA66E6}">
      <text>
        <r>
          <rPr>
            <b/>
            <sz val="9"/>
            <color indexed="81"/>
            <rFont val="Tahoma"/>
            <family val="2"/>
          </rPr>
          <t>Ángela Gisell Pérez Barón:</t>
        </r>
        <r>
          <rPr>
            <sz val="9"/>
            <color indexed="81"/>
            <rFont val="Tahoma"/>
            <family val="2"/>
          </rPr>
          <t xml:space="preserve">
Se reciben $24.000.000 del rubro C-1505-0100-3-20109B-1505006-02 PRESTAR LOS SERVICIOS DE APOYO A LA GESTION DE UN TÉCNOLOGO PRESUPUESTADOR, PARA LA ELABORACION DE PRESUPUESTOS DE LOS PROYECTOS DE CONSTRUCCIÓN Y MANTENIMIENTO DE VIVIENDA FISCAL DEL GRUPO PROYECTOS DE INVERSION DEL INSTITUTO DE CASAS FISCALES DEL EJÉRCITO.</t>
        </r>
      </text>
    </comment>
    <comment ref="M369"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5"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379"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379"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380"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381"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385"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387"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<sst xmlns="http://schemas.openxmlformats.org/spreadsheetml/2006/main" count="180222" uniqueCount="113875">
  <si>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</si>
  <si>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</si>
  <si>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</si>
  <si>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</si>
  <si>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</si>
  <si>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</si>
  <si>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</si>
  <si>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</si>
  <si>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</si>
  <si>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</si>
  <si>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</si>
  <si>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</si>
  <si>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</si>
  <si>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</si>
  <si>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</si>
  <si>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</si>
  <si>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</si>
  <si>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</si>
  <si>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</si>
  <si>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</si>
  <si>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</si>
  <si>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</si>
  <si>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</si>
  <si>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</si>
  <si>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</si>
  <si>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</si>
  <si>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</si>
  <si>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</si>
  <si>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</si>
  <si>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</si>
  <si>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</si>
  <si>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</si>
  <si>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</si>
  <si>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</si>
  <si>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</si>
  <si>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</si>
  <si>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</si>
  <si>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</si>
  <si>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</si>
  <si>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</si>
  <si>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</si>
  <si>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</si>
  <si>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</si>
  <si>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</si>
  <si>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</si>
  <si>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</si>
  <si>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</si>
  <si>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</si>
  <si>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</si>
  <si>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</si>
  <si>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</si>
  <si>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</si>
  <si>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</si>
  <si>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</si>
  <si>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</si>
  <si>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</si>
  <si>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</si>
  <si>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</si>
  <si>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</si>
  <si>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</si>
  <si>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</si>
  <si>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</si>
  <si>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</si>
  <si>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</si>
  <si>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</si>
  <si>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</si>
  <si>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</si>
  <si>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</si>
  <si>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</si>
  <si>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</si>
  <si>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</si>
  <si>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</si>
  <si>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</si>
  <si>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</si>
  <si>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</si>
  <si>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</si>
  <si>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</si>
  <si>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</si>
  <si>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</si>
  <si>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</si>
  <si>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</si>
  <si>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</si>
  <si>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</si>
  <si>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</si>
  <si>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</si>
  <si>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</si>
  <si>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</si>
  <si>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</si>
  <si>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</si>
  <si>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</si>
  <si>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</si>
  <si>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</si>
  <si>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</si>
  <si>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</si>
  <si>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</si>
  <si>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</si>
  <si>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</si>
  <si>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</si>
  <si>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</si>
  <si>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</si>
  <si>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</si>
  <si>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</si>
  <si>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</si>
  <si>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</si>
  <si>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</si>
  <si>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</si>
  <si>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</si>
  <si>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</si>
  <si>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</si>
  <si>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</si>
  <si>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</si>
  <si>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</si>
  <si>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</si>
  <si>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</si>
  <si>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</si>
  <si>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</si>
  <si>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</si>
  <si>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</si>
  <si>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</si>
  <si>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</si>
  <si>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</si>
  <si>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</si>
  <si>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</si>
  <si>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</si>
  <si>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</si>
  <si>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</si>
  <si>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</si>
  <si>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</si>
  <si>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</si>
  <si>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</si>
  <si>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</si>
  <si>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</si>
  <si>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</si>
  <si>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</si>
  <si>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</si>
  <si>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</si>
  <si>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</si>
  <si>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</si>
  <si>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</si>
  <si>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</si>
  <si>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</si>
  <si>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</si>
  <si>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</si>
  <si>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</si>
  <si>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</si>
  <si>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</si>
  <si>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</si>
  <si>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</si>
  <si>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</si>
  <si>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</si>
  <si>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</si>
  <si>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</si>
  <si>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</si>
  <si>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</si>
  <si>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</si>
  <si>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</si>
  <si>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</si>
  <si>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</si>
  <si>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</si>
  <si>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</si>
  <si>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</si>
  <si>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</si>
  <si>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</si>
  <si>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</si>
  <si>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</si>
  <si>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</si>
  <si>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</si>
  <si>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</si>
  <si>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</si>
  <si>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</si>
  <si>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</si>
  <si>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</si>
  <si>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</si>
  <si>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</si>
  <si>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</si>
  <si>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</si>
  <si>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</si>
  <si>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</si>
  <si>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</si>
  <si>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</si>
  <si>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</si>
  <si>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</si>
  <si>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</si>
  <si>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</si>
  <si>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</si>
  <si>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</si>
  <si>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</si>
  <si>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</si>
  <si>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</si>
  <si>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</si>
  <si>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</si>
  <si>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</si>
  <si>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</si>
  <si>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</si>
  <si>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</si>
  <si>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</si>
  <si>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</si>
  <si>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</si>
  <si>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</si>
  <si>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</si>
  <si>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</si>
  <si>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</si>
  <si>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</si>
  <si>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</si>
  <si>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</si>
  <si>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</si>
  <si>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</si>
  <si>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</si>
  <si>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</si>
  <si>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</si>
  <si>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</si>
  <si>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</si>
  <si>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</si>
  <si>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</si>
  <si>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</si>
  <si>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</si>
  <si>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</si>
  <si>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</si>
  <si>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</si>
  <si>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</si>
  <si>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</si>
  <si>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</si>
  <si>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</si>
  <si>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</si>
  <si>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</si>
  <si>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</si>
  <si>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</si>
  <si>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</si>
  <si>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</si>
  <si>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</si>
  <si>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</si>
  <si>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</si>
  <si>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</si>
  <si>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</si>
  <si>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</si>
  <si>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</si>
  <si>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</si>
  <si>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</si>
  <si>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</si>
  <si>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</si>
  <si>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</si>
  <si>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</si>
  <si>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</si>
  <si>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</si>
  <si>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</si>
  <si>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</si>
  <si>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</si>
  <si>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</si>
  <si>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</si>
  <si>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</si>
  <si>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</si>
  <si>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</si>
  <si>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</si>
  <si>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</si>
  <si>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</si>
  <si>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</si>
  <si>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</si>
  <si>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</si>
  <si>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</si>
  <si>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</si>
  <si>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</si>
  <si>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</si>
  <si>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</si>
  <si>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</si>
  <si>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</si>
  <si>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</si>
  <si>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</si>
  <si>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</si>
  <si>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</si>
  <si>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</si>
  <si>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</si>
  <si>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</si>
  <si>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</si>
  <si>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</si>
  <si>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</si>
  <si>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</si>
  <si>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</si>
  <si>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</si>
  <si>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</si>
  <si>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</si>
  <si>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</si>
  <si>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</si>
  <si>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</si>
  <si>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</si>
  <si>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</si>
  <si>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</si>
  <si>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</si>
  <si>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</si>
  <si>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</si>
  <si>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</si>
  <si>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</si>
  <si>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</si>
  <si>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</si>
  <si>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</si>
  <si>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</si>
  <si>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</si>
  <si>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</si>
  <si>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</si>
  <si>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</si>
  <si>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</si>
  <si>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</si>
  <si>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</si>
  <si>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</si>
  <si>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</si>
  <si>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</si>
  <si>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</si>
  <si>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</si>
  <si>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</si>
  <si>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</si>
  <si>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</si>
  <si>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</si>
  <si>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</si>
  <si>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</si>
  <si>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</si>
  <si>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</si>
  <si>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</si>
  <si>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</si>
  <si>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</si>
  <si>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</si>
  <si>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</si>
  <si>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</si>
  <si>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</si>
  <si>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</si>
  <si>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</si>
  <si>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</si>
  <si>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</si>
  <si>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</si>
  <si>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</si>
  <si>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</si>
  <si>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</si>
  <si>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</si>
  <si>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</si>
  <si>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</si>
  <si>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</si>
  <si>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</si>
  <si>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</si>
  <si>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</si>
  <si>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</si>
  <si>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</si>
  <si>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</si>
  <si>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</si>
  <si>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</si>
  <si>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</si>
  <si>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</si>
  <si>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</si>
  <si>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</si>
  <si>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</si>
  <si>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</si>
  <si>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</si>
  <si>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</si>
  <si>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</si>
  <si>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</si>
  <si>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</si>
  <si>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</si>
  <si>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</si>
  <si>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</si>
  <si>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</si>
  <si>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</si>
  <si>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</si>
  <si>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</si>
  <si>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</si>
  <si>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</si>
  <si>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</si>
  <si>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</si>
  <si>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</si>
  <si>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</si>
  <si>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</si>
  <si>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</si>
  <si>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</si>
  <si>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</si>
  <si>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</si>
  <si>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</si>
  <si>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</si>
  <si>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</si>
  <si>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</si>
  <si>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</si>
  <si>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</si>
  <si>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</si>
  <si>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</si>
  <si>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</si>
  <si>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</si>
  <si>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</si>
  <si>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</si>
  <si>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</si>
  <si>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</si>
  <si>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</si>
  <si>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</si>
  <si>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</si>
  <si>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</si>
  <si>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</si>
  <si>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</si>
  <si>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</si>
  <si>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</si>
  <si>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</si>
  <si>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</si>
  <si>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</si>
  <si>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</si>
  <si>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</si>
  <si>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</si>
  <si>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</si>
  <si>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</si>
  <si>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</si>
  <si>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</si>
  <si>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</si>
  <si>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</si>
  <si>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</si>
  <si>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</si>
  <si>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</si>
  <si>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</si>
  <si>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</si>
  <si>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</si>
  <si>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</si>
  <si>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</si>
  <si>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</si>
  <si>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</si>
  <si>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</si>
  <si>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</si>
  <si>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</si>
  <si>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</si>
  <si>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</si>
  <si>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</si>
  <si>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</si>
  <si>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</si>
  <si>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</si>
  <si>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</si>
  <si>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</si>
  <si>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</si>
  <si>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</si>
  <si>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</si>
  <si>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</si>
  <si>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</si>
  <si>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</si>
  <si>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</si>
  <si>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</si>
  <si>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</si>
  <si>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</si>
  <si>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</si>
  <si>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</si>
  <si>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</si>
  <si>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</si>
  <si>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</si>
  <si>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</si>
  <si>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</si>
  <si>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</si>
  <si>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</si>
  <si>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</si>
  <si>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</si>
  <si>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</si>
  <si>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</si>
  <si>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</si>
  <si>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</si>
  <si>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</si>
  <si>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</si>
  <si>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</si>
  <si>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</si>
  <si>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</si>
  <si>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</si>
  <si>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</si>
  <si>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</si>
  <si>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</si>
  <si>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</si>
  <si>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</si>
  <si>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</si>
  <si>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</si>
  <si>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</si>
  <si>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</si>
  <si>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</si>
  <si>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</si>
  <si>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</si>
  <si>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</si>
  <si>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</si>
  <si>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</si>
  <si>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</si>
  <si>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</si>
  <si>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</si>
  <si>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</si>
  <si>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</si>
  <si>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</si>
  <si>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</si>
  <si>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</si>
  <si>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</si>
  <si>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</si>
  <si>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</si>
  <si>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</si>
  <si>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</si>
  <si>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</si>
  <si>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</si>
  <si>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</si>
  <si>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</si>
  <si>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</si>
  <si>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</si>
  <si>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</si>
  <si>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</si>
  <si>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</si>
  <si>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</si>
  <si>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</si>
  <si>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</si>
  <si>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</si>
  <si>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</si>
  <si>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</si>
  <si>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</si>
  <si>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</si>
  <si>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</si>
  <si>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</si>
  <si>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</si>
  <si>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</si>
  <si>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</si>
  <si>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</si>
  <si>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</si>
  <si>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</si>
  <si>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</si>
  <si>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</si>
  <si>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</si>
  <si>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</si>
  <si>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</si>
  <si>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</si>
  <si>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</si>
  <si>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</si>
  <si>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</si>
  <si>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</si>
  <si>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</si>
  <si>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</si>
  <si>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</si>
  <si>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</si>
  <si>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</si>
  <si>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</si>
  <si>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</si>
  <si>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</si>
  <si>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</si>
  <si>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</si>
  <si>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</si>
  <si>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</si>
  <si>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</si>
  <si>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</si>
  <si>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</si>
  <si>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</si>
  <si>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</si>
  <si>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</si>
  <si>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</si>
  <si>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</si>
  <si>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</si>
  <si>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</si>
  <si>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</si>
  <si>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</si>
  <si>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</si>
  <si>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</si>
  <si>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</si>
  <si>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</si>
  <si>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</si>
  <si>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</si>
  <si>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</si>
  <si>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</si>
  <si>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</si>
  <si>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</si>
  <si>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</si>
  <si>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</si>
  <si>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</si>
  <si>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</si>
  <si>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</si>
  <si>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</si>
  <si>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</si>
  <si>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</si>
  <si>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</si>
  <si>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</si>
  <si>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</si>
  <si>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</si>
  <si>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</si>
  <si>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</si>
  <si>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</si>
  <si>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</si>
  <si>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</si>
  <si>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</si>
  <si>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</si>
  <si>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</si>
  <si>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</si>
  <si>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</si>
  <si>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</si>
  <si>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</si>
  <si>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</si>
  <si>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</si>
  <si>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</si>
  <si>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</si>
  <si>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</si>
  <si>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</si>
  <si>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</si>
  <si>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</si>
  <si>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</si>
  <si>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</si>
  <si>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</si>
  <si>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</si>
  <si>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</si>
  <si>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</si>
  <si>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</si>
  <si>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</si>
  <si>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</si>
  <si>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</si>
  <si>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</si>
  <si>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</si>
  <si>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</si>
  <si>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</si>
  <si>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</si>
  <si>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</si>
  <si>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</si>
  <si>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</si>
  <si>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</si>
  <si>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</si>
  <si>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</si>
  <si>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</si>
  <si>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</si>
  <si>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</si>
  <si>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</si>
  <si>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</si>
  <si>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</si>
  <si>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</si>
  <si>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</si>
  <si>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</si>
  <si>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</si>
  <si>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</si>
  <si>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</si>
  <si>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</si>
  <si>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</si>
  <si>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</si>
  <si>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</si>
  <si>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</si>
  <si>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</si>
  <si>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</si>
  <si>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</si>
  <si>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</si>
  <si>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</si>
  <si>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</si>
  <si>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</si>
  <si>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</si>
  <si>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</si>
  <si>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</si>
  <si>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</si>
  <si>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</si>
  <si>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</si>
  <si>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</si>
  <si>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</si>
  <si>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</si>
  <si>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</si>
  <si>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</si>
  <si>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</si>
  <si>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</si>
  <si>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</si>
  <si>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</si>
  <si>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</si>
  <si>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</si>
  <si>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</si>
  <si>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</si>
  <si>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</si>
  <si>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</si>
  <si>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</si>
  <si>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</si>
  <si>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</si>
  <si>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</si>
  <si>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</si>
  <si>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</si>
  <si>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</si>
  <si>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</si>
  <si>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</si>
  <si>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</si>
  <si>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</si>
  <si>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</si>
  <si>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</si>
  <si>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</si>
  <si>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</si>
  <si>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</si>
  <si>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</si>
  <si>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</si>
  <si>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</si>
  <si>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</si>
  <si>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</si>
  <si>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</si>
  <si>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</si>
  <si>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</si>
  <si>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</si>
  <si>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</si>
  <si>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</si>
  <si>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</si>
  <si>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</si>
  <si>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</si>
  <si>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</si>
  <si>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</si>
  <si>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</si>
  <si>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</si>
  <si>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</si>
  <si>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</si>
  <si>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</si>
  <si>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</si>
  <si>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</si>
  <si>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</si>
  <si>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</si>
  <si>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</si>
  <si>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</si>
  <si>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</si>
  <si>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</si>
  <si>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</si>
  <si>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</si>
  <si>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</si>
  <si>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</si>
  <si>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</si>
  <si>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</si>
  <si>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</si>
  <si>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</si>
  <si>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</si>
  <si>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</si>
  <si>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</si>
  <si>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</si>
  <si>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</si>
  <si>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</si>
  <si>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</si>
  <si>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</si>
  <si>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</si>
  <si>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</si>
  <si>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</si>
  <si>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</si>
  <si>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</si>
  <si>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</si>
  <si>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</si>
  <si>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</si>
  <si>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</si>
  <si>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</si>
  <si>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</si>
  <si>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</si>
  <si>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</si>
  <si>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</si>
  <si>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</si>
  <si>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</si>
  <si>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</si>
  <si>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</si>
  <si>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</si>
  <si>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</si>
  <si>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</si>
  <si>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</si>
  <si>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</si>
  <si>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</si>
  <si>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</si>
  <si>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</si>
  <si>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</si>
  <si>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</si>
  <si>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</si>
  <si>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</si>
  <si>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</si>
  <si>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</si>
  <si>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</si>
  <si>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</si>
  <si>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</si>
  <si>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</si>
  <si>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</si>
  <si>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</si>
  <si>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</si>
  <si>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</si>
  <si>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</si>
  <si>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</si>
  <si>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</si>
  <si>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</si>
  <si>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</si>
  <si>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</si>
  <si>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</si>
  <si>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</si>
  <si>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</si>
  <si>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</si>
  <si>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</si>
  <si>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</si>
  <si>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</si>
  <si>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</si>
  <si>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</si>
  <si>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</si>
  <si>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</si>
  <si>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</si>
  <si>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</si>
  <si>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</si>
  <si>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</si>
  <si>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</si>
  <si>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</si>
  <si>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</si>
  <si>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</si>
  <si>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</si>
  <si>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</si>
  <si>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</si>
  <si>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</si>
  <si>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</si>
  <si>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</si>
  <si>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</si>
  <si>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</si>
  <si>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</si>
  <si>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</si>
  <si>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</si>
  <si>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</si>
  <si>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</si>
  <si>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</si>
  <si>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</si>
  <si>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</si>
  <si>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</si>
  <si>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</si>
  <si>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</si>
  <si>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</si>
  <si>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</si>
  <si>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</si>
  <si>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</si>
  <si>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</si>
  <si>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</si>
  <si>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</si>
  <si>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</si>
  <si>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</si>
  <si>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</si>
  <si>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</si>
  <si>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</si>
  <si>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</si>
  <si>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</si>
  <si>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</si>
  <si>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</si>
  <si>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</si>
  <si>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</si>
  <si>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</si>
  <si>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</si>
  <si>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</si>
  <si>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</si>
  <si>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</si>
  <si>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</si>
  <si>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</si>
  <si>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</si>
  <si>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</si>
  <si>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</si>
  <si>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</si>
  <si>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</si>
  <si>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</si>
  <si>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</si>
  <si>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</si>
  <si>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</si>
  <si>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</si>
  <si>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</si>
  <si>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</si>
  <si>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</si>
  <si>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</si>
  <si>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</si>
  <si>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</si>
  <si>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</si>
  <si>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</si>
  <si>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</si>
  <si>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</si>
  <si>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</si>
  <si>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</si>
  <si>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</si>
  <si>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</si>
  <si>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</si>
  <si>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</si>
  <si>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</si>
  <si>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</si>
  <si>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</si>
  <si>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</si>
  <si>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</si>
  <si>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</si>
  <si>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</si>
  <si>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</si>
  <si>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</si>
  <si>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</si>
  <si>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</si>
  <si>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</si>
  <si>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</si>
  <si>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</si>
  <si>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</si>
  <si>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</si>
  <si>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</si>
  <si>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</si>
  <si>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</si>
  <si>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</si>
  <si>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</si>
  <si>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</si>
  <si>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</si>
  <si>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</si>
  <si>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</si>
  <si>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</si>
  <si>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</si>
  <si>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</si>
  <si>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</si>
  <si>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</si>
  <si>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</si>
  <si>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</si>
  <si>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</si>
  <si>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</si>
  <si>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</si>
  <si>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</si>
  <si>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</si>
  <si>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</si>
  <si>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</si>
  <si>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</si>
  <si>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</si>
  <si>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</si>
  <si>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</si>
  <si>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</si>
  <si>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</si>
  <si>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</si>
  <si>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</si>
  <si>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</si>
  <si>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</si>
  <si>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</si>
  <si>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</si>
  <si>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</si>
  <si>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</si>
  <si>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</si>
  <si>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</si>
  <si>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</si>
  <si>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</si>
  <si>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</si>
  <si>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</si>
  <si>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</si>
  <si>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</si>
  <si>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</si>
  <si>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</si>
  <si>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</si>
  <si>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</si>
  <si>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</si>
  <si>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</si>
  <si>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</si>
  <si>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</si>
  <si>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</si>
  <si>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</si>
  <si>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</si>
  <si>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</si>
  <si>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</si>
  <si>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</si>
  <si>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</si>
  <si>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</si>
  <si>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</si>
  <si>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</si>
  <si>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</si>
  <si>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</si>
  <si>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</si>
  <si>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</si>
  <si>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</si>
  <si>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</si>
  <si>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</si>
  <si>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</si>
  <si>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</si>
  <si>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</si>
  <si>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</si>
  <si>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</si>
  <si>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</si>
  <si>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</si>
  <si>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</si>
  <si>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</si>
  <si>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</si>
  <si>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</si>
  <si>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</si>
  <si>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</si>
  <si>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</si>
  <si>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</si>
  <si>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</si>
  <si>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</si>
  <si>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</si>
  <si>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</si>
  <si>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</si>
  <si>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</si>
  <si>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</si>
  <si>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</si>
  <si>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</si>
  <si>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</si>
  <si>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</si>
  <si>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</si>
  <si>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</si>
  <si>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</si>
  <si>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</si>
  <si>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</si>
  <si>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</si>
  <si>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</si>
  <si>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</si>
  <si>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</si>
  <si>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</si>
  <si>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</si>
  <si>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</si>
  <si>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</si>
  <si>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</si>
  <si>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</si>
  <si>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</si>
  <si>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</si>
  <si>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</si>
  <si>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</si>
  <si>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</si>
  <si>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</si>
  <si>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</si>
  <si>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</si>
  <si>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</si>
  <si>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</si>
  <si>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</si>
  <si>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</si>
  <si>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</si>
  <si>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</si>
  <si>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</si>
  <si>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</si>
  <si>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</si>
  <si>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</si>
  <si>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</si>
  <si>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</si>
  <si>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</si>
  <si>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</si>
  <si>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</si>
  <si>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</si>
  <si>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</si>
  <si>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</si>
  <si>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</si>
  <si>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</si>
  <si>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</si>
  <si>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</si>
  <si>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</si>
  <si>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</si>
  <si>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</si>
  <si>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</si>
  <si>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</si>
  <si>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</si>
  <si>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</si>
  <si>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</si>
  <si>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</si>
  <si>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</si>
  <si>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</si>
  <si>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</si>
  <si>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</si>
  <si>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</si>
  <si>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</si>
  <si>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</si>
  <si>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</si>
  <si>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</si>
  <si>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</si>
  <si>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</si>
  <si>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</si>
  <si>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</si>
  <si>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</si>
  <si>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</si>
  <si>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</si>
  <si>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</si>
  <si>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</si>
  <si>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</si>
  <si>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</si>
  <si>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</si>
  <si>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</si>
  <si>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</si>
  <si>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</si>
  <si>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</si>
  <si>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</si>
  <si>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</si>
  <si>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</si>
  <si>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</si>
  <si>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</si>
  <si>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</si>
  <si>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</si>
  <si>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</si>
  <si>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</si>
  <si>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</si>
  <si>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</si>
  <si>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</si>
  <si>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</si>
  <si>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</si>
  <si>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</si>
  <si>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</si>
  <si>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</si>
  <si>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</si>
  <si>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</si>
  <si>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</si>
  <si>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</si>
  <si>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</si>
  <si>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</si>
  <si>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</si>
  <si>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</si>
  <si>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</si>
  <si>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</si>
  <si>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</si>
  <si>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</si>
  <si>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</si>
  <si>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</si>
  <si>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</si>
  <si>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</si>
  <si>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</si>
  <si>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</si>
  <si>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</si>
  <si>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</si>
  <si>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</si>
  <si>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</si>
  <si>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</si>
  <si>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</si>
  <si>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</si>
  <si>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</si>
  <si>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</si>
  <si>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</si>
  <si>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</si>
  <si>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</si>
  <si>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</si>
  <si>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</si>
  <si>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</si>
  <si>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</si>
  <si>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</si>
  <si>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</si>
  <si>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</si>
  <si>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</si>
  <si>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</si>
  <si>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</si>
  <si>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</si>
  <si>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</si>
  <si>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</si>
  <si>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</si>
  <si>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</si>
  <si>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</si>
  <si>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</si>
  <si>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</si>
  <si>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</si>
  <si>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</si>
  <si>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</si>
  <si>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</si>
  <si>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</si>
  <si>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</si>
  <si>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</si>
  <si>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</si>
  <si>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</si>
  <si>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</si>
  <si>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</si>
  <si>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</si>
  <si>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</si>
  <si>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</si>
  <si>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</si>
  <si>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</si>
  <si>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</si>
  <si>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</si>
  <si>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</si>
  <si>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</si>
  <si>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</si>
  <si>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</si>
  <si>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</si>
  <si>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</si>
  <si>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</si>
  <si>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</si>
  <si>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</si>
  <si>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</si>
  <si>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</si>
  <si>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</si>
  <si>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</si>
  <si>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</si>
  <si>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</si>
  <si>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</si>
  <si>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</si>
  <si>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</si>
  <si>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</si>
  <si>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</si>
  <si>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</si>
  <si>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</si>
  <si>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</si>
  <si>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</si>
  <si>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</si>
  <si>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</si>
  <si>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</si>
  <si>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</si>
  <si>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</si>
  <si>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</si>
  <si>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</si>
  <si>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</si>
  <si>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</si>
  <si>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</si>
  <si>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</si>
  <si>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</si>
  <si>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</si>
  <si>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</si>
  <si>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</si>
  <si>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</si>
  <si>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</si>
  <si>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</si>
  <si>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</si>
  <si>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</si>
  <si>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</si>
  <si>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</si>
  <si>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</si>
  <si>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</si>
  <si>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</si>
  <si>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</si>
  <si>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</si>
  <si>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</si>
  <si>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</si>
  <si>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</si>
  <si>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</si>
  <si>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</si>
  <si>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</si>
  <si>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</si>
  <si>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</si>
  <si>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</si>
  <si>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</si>
  <si>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</si>
  <si>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</si>
  <si>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</si>
  <si>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</si>
  <si>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</si>
  <si>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</si>
  <si>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</si>
  <si>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</si>
  <si>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</si>
  <si>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</si>
  <si>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</si>
  <si>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</si>
  <si>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</si>
  <si>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</si>
  <si>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</si>
  <si>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</si>
  <si>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</si>
  <si>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</si>
  <si>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</si>
  <si>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</si>
  <si>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</si>
  <si>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</si>
  <si>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</si>
  <si>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</si>
  <si>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</si>
  <si>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</si>
  <si>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</si>
  <si>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</si>
  <si>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</si>
  <si>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</si>
  <si>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</si>
  <si>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</si>
  <si>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</si>
  <si>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</si>
  <si>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</si>
  <si>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</si>
  <si>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</si>
  <si>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</si>
  <si>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</si>
  <si>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</si>
  <si>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</si>
  <si>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</si>
  <si>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</si>
  <si>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</si>
  <si>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</si>
  <si>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</si>
  <si>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</si>
  <si>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</si>
  <si>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</si>
  <si>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</si>
  <si>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</si>
  <si>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</si>
  <si>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</si>
  <si>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</si>
  <si>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</si>
  <si>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</si>
  <si>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</si>
  <si>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</si>
  <si>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</si>
  <si>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</si>
  <si>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</si>
  <si>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</si>
  <si>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</si>
  <si>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</si>
  <si>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</si>
  <si>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</si>
  <si>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</si>
  <si>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</si>
  <si>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</si>
  <si>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</si>
  <si>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</si>
  <si>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</si>
  <si>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</si>
  <si>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</si>
  <si>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</si>
  <si>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</si>
  <si>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</si>
  <si>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</si>
  <si>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</si>
  <si>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</si>
  <si>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</si>
  <si>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</si>
  <si>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</si>
  <si>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</si>
  <si>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</si>
  <si>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</si>
  <si>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</si>
  <si>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</si>
  <si>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</si>
  <si>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</si>
  <si>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</si>
  <si>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</si>
  <si>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</si>
  <si>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</si>
  <si>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</si>
  <si>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</si>
  <si>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</si>
  <si>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</si>
  <si>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</si>
  <si>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</si>
  <si>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</si>
  <si>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</si>
  <si>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</si>
  <si>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</si>
  <si>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</si>
  <si>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</si>
  <si>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</si>
  <si>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</si>
  <si>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</si>
  <si>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</si>
  <si>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</si>
  <si>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</si>
  <si>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</si>
  <si>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</si>
  <si>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</si>
  <si>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</si>
  <si>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</si>
  <si>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</si>
  <si>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</si>
  <si>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</si>
  <si>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</si>
  <si>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</si>
  <si>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</si>
  <si>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</si>
  <si>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</si>
  <si>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</si>
  <si>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</si>
  <si>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</si>
  <si>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</si>
  <si>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</si>
  <si>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</si>
  <si>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</si>
  <si>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</si>
  <si>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</si>
  <si>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</si>
  <si>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</si>
  <si>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</si>
  <si>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</si>
  <si>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</si>
  <si>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</si>
  <si>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</si>
  <si>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</si>
  <si>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</si>
  <si>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</si>
  <si>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</si>
  <si>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</si>
  <si>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</si>
  <si>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</si>
  <si>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</si>
  <si>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</si>
  <si>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</si>
  <si>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</si>
  <si>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</si>
  <si>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</si>
  <si>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</si>
  <si>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</si>
  <si>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</si>
  <si>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</si>
  <si>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</si>
  <si>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</si>
  <si>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</si>
  <si>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</si>
  <si>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</si>
  <si>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</si>
  <si>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</si>
  <si>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</si>
  <si>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</si>
  <si>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</si>
  <si>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</si>
  <si>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</si>
  <si>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</si>
  <si>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</si>
  <si>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</si>
  <si>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</si>
  <si>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</si>
  <si>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</si>
  <si>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</si>
  <si>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</si>
  <si>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</si>
  <si>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</si>
  <si>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</si>
  <si>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</si>
  <si>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</si>
  <si>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</si>
  <si>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</si>
  <si>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</si>
  <si>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</si>
  <si>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</si>
  <si>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</si>
  <si>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</si>
  <si>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</si>
  <si>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</si>
  <si>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</si>
  <si>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</si>
  <si>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</si>
  <si>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</si>
  <si>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</si>
  <si>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</si>
  <si>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</si>
  <si>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</si>
  <si>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</si>
  <si>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</si>
  <si>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</si>
  <si>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</si>
  <si>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</si>
  <si>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</si>
  <si>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</si>
  <si>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</si>
  <si>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</si>
  <si>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</si>
  <si>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</si>
  <si>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</si>
  <si>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</si>
  <si>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</si>
  <si>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</si>
  <si>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</si>
  <si>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</si>
  <si>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</si>
  <si>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</si>
  <si>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</si>
  <si>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</si>
  <si>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</si>
  <si>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</si>
  <si>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</si>
  <si>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</si>
  <si>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</si>
  <si>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</si>
  <si>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</si>
  <si>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</si>
  <si>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</si>
  <si>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</si>
  <si>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</si>
  <si>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</si>
  <si>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</si>
  <si>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</si>
  <si>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</si>
  <si>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</si>
  <si>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</si>
  <si>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</si>
  <si>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</si>
  <si>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</si>
  <si>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</si>
  <si>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</si>
  <si>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</si>
  <si>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</si>
  <si>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</si>
  <si>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</si>
  <si>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</si>
  <si>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</si>
  <si>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</si>
  <si>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</si>
  <si>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</si>
  <si>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</si>
  <si>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</si>
  <si>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</si>
  <si>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</si>
  <si>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</si>
  <si>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</si>
  <si>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</si>
  <si>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</si>
  <si>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</si>
  <si>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</si>
  <si>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</si>
  <si>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</si>
  <si>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</si>
  <si>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</si>
  <si>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</si>
  <si>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</si>
  <si>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</si>
  <si>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</si>
  <si>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</si>
  <si>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</si>
  <si>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</si>
  <si>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</si>
  <si>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</si>
  <si>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</si>
  <si>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</si>
  <si>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</si>
  <si>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</si>
  <si>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</si>
  <si>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</si>
  <si>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</si>
  <si>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</si>
  <si>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</si>
  <si>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</si>
  <si>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</si>
  <si>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</si>
  <si>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</si>
  <si>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</si>
  <si>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</si>
  <si>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</si>
  <si>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</si>
  <si>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</si>
  <si>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</si>
  <si>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</si>
  <si>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</si>
  <si>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</si>
  <si>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</si>
  <si>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</si>
  <si>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</si>
  <si>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</si>
  <si>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</si>
  <si>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</si>
  <si>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</si>
  <si>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</si>
  <si>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</si>
  <si>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</si>
  <si>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</si>
  <si>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</si>
  <si>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</si>
  <si>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</si>
  <si>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</si>
  <si>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</si>
  <si>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</si>
  <si>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</si>
  <si>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</si>
  <si>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</si>
  <si>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</si>
  <si>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</si>
  <si>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</si>
  <si>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</si>
  <si>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</si>
  <si>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</si>
  <si>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</si>
  <si>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</si>
  <si>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</si>
  <si>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</si>
  <si>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</si>
  <si>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</si>
  <si>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</si>
  <si>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</si>
  <si>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</si>
  <si>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</si>
  <si>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</si>
  <si>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</si>
  <si>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</si>
  <si>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</si>
  <si>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</si>
  <si>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</si>
  <si>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</si>
  <si>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</si>
  <si>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</si>
  <si>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</si>
  <si>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</si>
  <si>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</si>
  <si>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</si>
  <si>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</si>
  <si>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</si>
  <si>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</si>
  <si>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</si>
  <si>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</si>
  <si>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</si>
  <si>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</si>
  <si>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</si>
  <si>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</si>
  <si>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</si>
  <si>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</si>
  <si>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</si>
  <si>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</si>
  <si>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</si>
  <si>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</si>
  <si>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</si>
  <si>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</si>
  <si>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</si>
  <si>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</si>
  <si>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</si>
  <si>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</si>
  <si>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</si>
  <si>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</si>
  <si>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</si>
  <si>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</si>
  <si>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</si>
  <si>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</si>
  <si>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</si>
  <si>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</si>
  <si>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</si>
  <si>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</si>
  <si>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</si>
  <si>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</si>
  <si>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</si>
  <si>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</si>
  <si>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</si>
  <si>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</si>
  <si>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</si>
  <si>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</si>
  <si>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</si>
  <si>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</si>
  <si>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</si>
  <si>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</si>
  <si>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</si>
  <si>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</si>
  <si>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</si>
  <si>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</si>
  <si>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</si>
  <si>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</si>
  <si>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</si>
  <si>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</si>
  <si>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</si>
  <si>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</si>
  <si>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</si>
  <si>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</si>
  <si>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</si>
  <si>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</si>
  <si>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</si>
  <si>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</si>
  <si>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</si>
  <si>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</si>
  <si>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</si>
  <si>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</si>
  <si>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</si>
  <si>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</si>
  <si>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</si>
  <si>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</si>
  <si>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</si>
  <si>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</si>
  <si>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</si>
  <si>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</si>
  <si>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</si>
  <si>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</si>
  <si>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</si>
  <si>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</si>
  <si>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</si>
  <si>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</si>
  <si>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</si>
  <si>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</si>
  <si>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</si>
  <si>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</si>
  <si>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</si>
  <si>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</si>
  <si>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</si>
  <si>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</si>
  <si>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</si>
  <si>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</si>
  <si>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</si>
  <si>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</si>
  <si>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</si>
  <si>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</si>
  <si>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</si>
  <si>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</si>
  <si>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</si>
  <si>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</si>
  <si>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</si>
  <si>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</si>
  <si>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</si>
  <si>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</si>
  <si>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</si>
  <si>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</si>
  <si>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</si>
  <si>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</si>
  <si>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</si>
  <si>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</si>
  <si>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</si>
  <si>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</si>
  <si>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</si>
  <si>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</si>
  <si>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</si>
  <si>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</si>
  <si>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</si>
  <si>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</si>
  <si>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</si>
  <si>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</si>
  <si>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</si>
  <si>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</si>
  <si>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</si>
  <si>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</si>
  <si>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</si>
  <si>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</si>
  <si>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</si>
  <si>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</si>
  <si>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</si>
  <si>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</si>
  <si>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</si>
  <si>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</si>
  <si>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</si>
  <si>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</si>
  <si>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</si>
  <si>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</si>
  <si>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</si>
  <si>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</si>
  <si>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</si>
  <si>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</si>
  <si>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</si>
  <si>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</si>
  <si>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</si>
  <si>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</si>
  <si>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</si>
  <si>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</si>
  <si>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</si>
  <si>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</si>
  <si>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</si>
  <si>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</si>
  <si>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</si>
  <si>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</si>
  <si>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</si>
  <si>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</si>
  <si>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</si>
  <si>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</si>
  <si>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</si>
  <si>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</si>
  <si>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</si>
  <si>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</si>
  <si>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</si>
  <si>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</si>
  <si>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</si>
  <si>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</si>
  <si>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</si>
  <si>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</si>
  <si>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</si>
  <si>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</si>
  <si>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</si>
  <si>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</si>
  <si>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</si>
  <si>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</si>
  <si>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</si>
  <si>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</si>
  <si>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</si>
  <si>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</si>
  <si>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</si>
  <si>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</si>
  <si>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</si>
  <si>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</si>
  <si>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</si>
  <si>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</si>
  <si>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</si>
  <si>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</si>
  <si>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</si>
  <si>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</si>
  <si>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</si>
  <si>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</si>
  <si>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</si>
  <si>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</si>
  <si>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</si>
  <si>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</si>
  <si>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</si>
  <si>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</si>
  <si>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</si>
  <si>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</si>
  <si>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</si>
  <si>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</si>
  <si>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</si>
  <si>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</si>
  <si>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</si>
  <si>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</si>
  <si>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</si>
  <si>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</si>
  <si>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</si>
  <si>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</si>
  <si>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</si>
  <si>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</si>
  <si>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</si>
  <si>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</si>
  <si>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</si>
  <si>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</si>
  <si>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</si>
  <si>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</si>
  <si>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</si>
  <si>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</si>
  <si>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</si>
  <si>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</si>
  <si>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</si>
  <si>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</si>
  <si>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</si>
  <si>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</si>
  <si>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</si>
  <si>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</si>
  <si>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</si>
  <si>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</si>
  <si>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</si>
  <si>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</si>
  <si>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</si>
  <si>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</si>
  <si>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</si>
  <si>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</si>
  <si>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</si>
  <si>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</si>
  <si>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</si>
  <si>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</si>
  <si>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</si>
  <si>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</si>
  <si>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</si>
  <si>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</si>
  <si>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</si>
  <si>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</si>
  <si>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</si>
  <si>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</si>
  <si>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</si>
  <si>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</si>
  <si>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</si>
  <si>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</si>
  <si>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</si>
  <si>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</si>
  <si>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</si>
  <si>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</si>
  <si>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</si>
  <si>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</si>
  <si>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</si>
  <si>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</si>
  <si>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</si>
  <si>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</si>
  <si>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</si>
  <si>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</si>
  <si>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</si>
  <si>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</si>
  <si>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</si>
  <si>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</si>
  <si>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</si>
  <si>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</si>
  <si>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</si>
  <si>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</si>
  <si>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</si>
  <si>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</si>
  <si>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</si>
  <si>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</si>
  <si>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</si>
  <si>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</si>
  <si>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</si>
  <si>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</si>
  <si>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</si>
  <si>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</si>
  <si>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</si>
  <si>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</si>
  <si>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</si>
  <si>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</si>
  <si>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</si>
  <si>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</si>
  <si>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</si>
  <si>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</si>
  <si>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</si>
  <si>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</si>
  <si>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</si>
  <si>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</si>
  <si>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</si>
  <si>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</si>
  <si>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</si>
  <si>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</si>
  <si>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</si>
  <si>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</si>
  <si>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</si>
  <si>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</si>
  <si>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</si>
  <si>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</si>
  <si>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</si>
  <si>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</si>
  <si>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</si>
  <si>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</si>
  <si>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</si>
  <si>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</si>
  <si>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</si>
  <si>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</si>
  <si>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</si>
  <si>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</si>
  <si>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</si>
  <si>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</si>
  <si>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</si>
  <si>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</si>
  <si>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</si>
  <si>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</si>
  <si>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</si>
  <si>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</si>
  <si>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</si>
  <si>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</si>
  <si>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</si>
  <si>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</si>
  <si>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</si>
  <si>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</si>
  <si>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</si>
  <si>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</si>
  <si>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</si>
  <si>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</si>
  <si>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</si>
  <si>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</si>
  <si>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</si>
  <si>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</si>
  <si>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</si>
  <si>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</si>
  <si>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</si>
  <si>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</si>
  <si>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</si>
  <si>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</si>
  <si>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</si>
  <si>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</si>
  <si>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</si>
  <si>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</si>
  <si>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</si>
  <si>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</si>
  <si>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</si>
  <si>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</si>
  <si>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</si>
  <si>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</si>
  <si>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</si>
  <si>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</si>
  <si>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</si>
  <si>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</si>
  <si>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</si>
  <si>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</si>
  <si>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</si>
  <si>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</si>
  <si>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</si>
  <si>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</si>
  <si>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</si>
  <si>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</si>
  <si>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</si>
  <si>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</si>
  <si>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</si>
  <si>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</si>
  <si>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</si>
  <si>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</si>
  <si>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</si>
  <si>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</si>
  <si>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</si>
  <si>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</si>
  <si>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</si>
  <si>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</si>
  <si>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</si>
  <si>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</si>
  <si>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</si>
  <si>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</si>
  <si>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</si>
  <si>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</si>
  <si>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</si>
  <si>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</si>
  <si>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</si>
  <si>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</si>
  <si>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</si>
  <si>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</si>
  <si>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</si>
  <si>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</si>
  <si>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</si>
  <si>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</si>
  <si>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</si>
  <si>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</si>
  <si>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</si>
  <si>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</si>
  <si>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</si>
  <si>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</si>
  <si>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</si>
  <si>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</si>
  <si>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</si>
  <si>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</si>
  <si>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</si>
  <si>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</si>
  <si>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</si>
  <si>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</si>
  <si>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</si>
  <si>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</si>
  <si>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</si>
  <si>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</si>
  <si>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</si>
  <si>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</si>
  <si>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</si>
  <si>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</si>
  <si>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</si>
  <si>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</si>
  <si>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</si>
  <si>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</si>
  <si>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</si>
  <si>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</si>
  <si>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</si>
  <si>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</si>
  <si>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</si>
  <si>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</si>
  <si>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</si>
  <si>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</si>
  <si>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</si>
  <si>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</si>
  <si>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</si>
  <si>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</si>
  <si>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</si>
  <si>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</si>
  <si>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</si>
  <si>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</si>
  <si>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</si>
  <si>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</si>
  <si>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</si>
  <si>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</si>
  <si>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</si>
  <si>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</si>
  <si>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</si>
  <si>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</si>
  <si>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</si>
  <si>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</si>
  <si>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</si>
  <si>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</si>
  <si>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</si>
  <si>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</si>
  <si>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</si>
  <si>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</si>
  <si>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</si>
  <si>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</si>
  <si>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</si>
  <si>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</si>
  <si>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</si>
  <si>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</si>
  <si>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</si>
  <si>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</si>
  <si>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</si>
  <si>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</si>
  <si>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</si>
  <si>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</si>
  <si>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</si>
  <si>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</si>
  <si>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</si>
  <si>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</si>
  <si>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</si>
  <si>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</si>
  <si>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</si>
  <si>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</si>
  <si>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</si>
  <si>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</si>
  <si>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</si>
  <si>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</si>
  <si>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</si>
  <si>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</si>
  <si>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</si>
  <si>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</si>
  <si>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</si>
  <si>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</si>
  <si>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</si>
  <si>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</si>
  <si>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</si>
  <si>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</si>
  <si>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</si>
  <si>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</si>
  <si>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</si>
  <si>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</si>
  <si>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</si>
  <si>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</si>
  <si>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</si>
  <si>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</si>
  <si>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</si>
  <si>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</si>
  <si>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</si>
  <si>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</si>
  <si>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</si>
  <si>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</si>
  <si>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</si>
  <si>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</si>
  <si>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</si>
  <si>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</si>
  <si>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</si>
  <si>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</si>
  <si>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</si>
  <si>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</si>
  <si>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</si>
  <si>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</si>
  <si>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</si>
  <si>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</si>
  <si>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</si>
  <si>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</si>
  <si>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</si>
  <si>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</si>
  <si>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</si>
  <si>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</si>
  <si>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</si>
  <si>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</si>
  <si>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</si>
  <si>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</si>
  <si>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</si>
  <si>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</si>
  <si>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</si>
  <si>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</si>
  <si>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</si>
  <si>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</si>
  <si>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</si>
  <si>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</si>
  <si>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</si>
  <si>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</si>
  <si>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</si>
  <si>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</si>
  <si>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</si>
  <si>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</si>
  <si>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</si>
  <si>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</si>
  <si>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</si>
  <si>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</si>
  <si>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</si>
  <si>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</si>
  <si>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</si>
  <si>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</si>
  <si>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</si>
  <si>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</si>
  <si>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</si>
  <si>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</si>
  <si>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</si>
  <si>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</si>
  <si>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</si>
  <si>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</si>
  <si>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</si>
  <si>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</si>
  <si>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</si>
  <si>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</si>
  <si>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</si>
  <si>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</si>
  <si>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</si>
  <si>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</si>
  <si>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</si>
  <si>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</si>
  <si>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</si>
  <si>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</si>
  <si>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</si>
  <si>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</si>
  <si>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</si>
  <si>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</si>
  <si>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</si>
  <si>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</si>
  <si>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</si>
  <si>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</si>
  <si>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</si>
  <si>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</si>
  <si>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</si>
  <si>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</si>
  <si>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</si>
  <si>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</si>
  <si>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</si>
  <si>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</si>
  <si>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</si>
  <si>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</si>
  <si>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</si>
  <si>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</si>
  <si>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</si>
  <si>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</si>
  <si>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</si>
  <si>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</si>
  <si>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</si>
  <si>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</si>
  <si>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</si>
  <si>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</si>
  <si>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</si>
  <si>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</si>
  <si>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</si>
  <si>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</si>
  <si>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</si>
  <si>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</si>
  <si>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</si>
  <si>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</si>
  <si>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</si>
  <si>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</si>
  <si>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</si>
  <si>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</si>
  <si>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</si>
  <si>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</si>
  <si>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</si>
  <si>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</si>
  <si>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</si>
  <si>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</si>
  <si>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</si>
  <si>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</si>
  <si>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</si>
  <si>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</si>
  <si>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</si>
  <si>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</si>
  <si>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</si>
  <si>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</si>
  <si>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</si>
  <si>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</si>
  <si>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</si>
  <si>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</si>
  <si>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</si>
  <si>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</si>
  <si>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</si>
  <si>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</si>
  <si>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</si>
  <si>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</si>
  <si>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</si>
  <si>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</si>
  <si>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</si>
  <si>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</si>
  <si>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</si>
  <si>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</si>
  <si>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</si>
  <si>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</si>
  <si>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</si>
  <si>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</si>
  <si>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</si>
  <si>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</si>
  <si>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</si>
  <si>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</si>
  <si>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</si>
  <si>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</si>
  <si>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</si>
  <si>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</si>
  <si>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</si>
  <si>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</si>
  <si>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</si>
  <si>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</si>
  <si>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</si>
  <si>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</si>
  <si>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</si>
  <si>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</si>
  <si>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</si>
  <si>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</si>
  <si>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</si>
  <si>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</si>
  <si>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</si>
  <si>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</si>
  <si>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</si>
  <si>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</si>
  <si>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</si>
  <si>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</si>
  <si>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</si>
  <si>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</si>
  <si>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</si>
  <si>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</si>
  <si>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</si>
  <si>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</si>
  <si>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</si>
  <si>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</si>
  <si>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</si>
  <si>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</si>
  <si>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</si>
  <si>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</si>
  <si>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</si>
  <si>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</si>
  <si>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</si>
  <si>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</si>
  <si>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</si>
  <si>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</si>
  <si>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</si>
  <si>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</si>
  <si>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</si>
  <si>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</si>
  <si>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</si>
  <si>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</si>
  <si>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</si>
  <si>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</si>
  <si>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</si>
  <si>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</si>
  <si>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</si>
  <si>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</si>
  <si>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</si>
  <si>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</si>
  <si>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</si>
  <si>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</si>
  <si>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</si>
  <si>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</si>
  <si>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</si>
  <si>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</si>
  <si>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</si>
  <si>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</si>
  <si>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</si>
  <si>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</si>
  <si>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</si>
  <si>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</si>
  <si>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</si>
  <si>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</si>
  <si>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</si>
  <si>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</si>
  <si>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</si>
  <si>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</si>
  <si>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</si>
  <si>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</si>
  <si>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</si>
  <si>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</si>
  <si>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</si>
  <si>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</si>
  <si>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</si>
  <si>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</si>
  <si>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</si>
  <si>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</si>
  <si>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</si>
  <si>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</si>
  <si>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</si>
  <si>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</si>
  <si>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</si>
  <si>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</si>
  <si>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</si>
  <si>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</si>
  <si>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</si>
  <si>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</si>
  <si>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</si>
  <si>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</si>
  <si>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</si>
  <si>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</si>
  <si>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</si>
  <si>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</si>
  <si>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</si>
  <si>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</si>
  <si>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</si>
  <si>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</si>
  <si>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</si>
  <si>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</si>
  <si>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</si>
  <si>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</si>
  <si>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</si>
  <si>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</si>
  <si>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</si>
  <si>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</si>
  <si>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</si>
  <si>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</si>
  <si>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</si>
  <si>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</si>
  <si>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</si>
  <si>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</si>
  <si>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</si>
  <si>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</si>
  <si>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</si>
  <si>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</si>
  <si>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</si>
  <si>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</si>
  <si>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</si>
  <si>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</si>
  <si>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</si>
  <si>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</si>
  <si>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</si>
  <si>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</si>
  <si>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</si>
  <si>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</si>
  <si>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</si>
  <si>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</si>
  <si>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</si>
  <si>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</si>
  <si>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</si>
  <si>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</si>
  <si>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</si>
  <si>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</si>
  <si>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</si>
  <si>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</si>
  <si>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</si>
  <si>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</si>
  <si>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</si>
  <si>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</si>
  <si>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</si>
  <si>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</si>
  <si>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</si>
  <si>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</si>
  <si>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</si>
  <si>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</si>
  <si>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</si>
  <si>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</si>
  <si>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</si>
  <si>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</si>
  <si>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</si>
  <si>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</si>
  <si>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</si>
  <si>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</si>
  <si>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</si>
  <si>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</si>
  <si>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</si>
  <si>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</si>
  <si>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</si>
  <si>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</si>
  <si>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</si>
  <si>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</si>
  <si>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</si>
  <si>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</si>
  <si>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</si>
  <si>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</si>
  <si>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</si>
  <si>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</si>
  <si>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</si>
  <si>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</si>
  <si>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</si>
  <si>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</si>
  <si>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</si>
  <si>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</si>
  <si>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</si>
  <si>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</si>
  <si>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</si>
  <si>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</si>
  <si>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</si>
  <si>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</si>
  <si>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</si>
  <si>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</si>
  <si>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</si>
  <si>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</si>
  <si>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</si>
  <si>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</si>
  <si>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</si>
  <si>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</si>
  <si>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</si>
  <si>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</si>
  <si>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</si>
  <si>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</si>
  <si>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</si>
  <si>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</si>
  <si>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</si>
  <si>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</si>
  <si>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</si>
  <si>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</si>
  <si>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</si>
  <si>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</si>
  <si>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</si>
  <si>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</si>
  <si>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</si>
  <si>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</si>
  <si>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</si>
  <si>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</si>
  <si>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</si>
  <si>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</si>
  <si>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</si>
  <si>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</si>
  <si>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</si>
  <si>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</si>
  <si>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</si>
  <si>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</si>
  <si>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</si>
  <si>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</si>
  <si>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</si>
  <si>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</si>
  <si>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</si>
  <si>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</si>
  <si>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</si>
  <si>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</si>
  <si>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</si>
  <si>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</si>
  <si>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</si>
  <si>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</si>
  <si>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</si>
  <si>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</si>
  <si>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</si>
  <si>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</si>
  <si>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</si>
  <si>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</si>
  <si>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</si>
  <si>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</si>
  <si>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</si>
  <si>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</si>
  <si>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</si>
  <si>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</si>
  <si>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</si>
  <si>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</si>
  <si>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</si>
  <si>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</si>
  <si>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</si>
  <si>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</si>
  <si>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</si>
  <si>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</si>
  <si>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</si>
  <si>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</si>
  <si>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</si>
  <si>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</si>
  <si>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</si>
  <si>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</si>
  <si>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</si>
  <si>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</si>
  <si>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</si>
  <si>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</si>
  <si>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</si>
  <si>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</si>
  <si>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</si>
  <si>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</si>
  <si>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</si>
  <si>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</si>
  <si>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</si>
  <si>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</si>
  <si>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</si>
  <si>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</si>
  <si>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</si>
  <si>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</si>
  <si>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</si>
  <si>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</si>
  <si>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</si>
  <si>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</si>
  <si>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</si>
  <si>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</si>
  <si>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</si>
  <si>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</si>
  <si>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</si>
  <si>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</si>
  <si>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</si>
  <si>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</si>
  <si>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</si>
  <si>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</si>
  <si>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</si>
  <si>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</si>
  <si>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</si>
  <si>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</si>
  <si>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</si>
  <si>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</si>
  <si>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</si>
  <si>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</si>
  <si>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</si>
  <si>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</si>
  <si>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</si>
  <si>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</si>
  <si>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</si>
  <si>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</si>
  <si>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</si>
  <si>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</si>
  <si>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</si>
  <si>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</si>
  <si>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</si>
  <si>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</si>
  <si>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</si>
  <si>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</si>
  <si>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</si>
  <si>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</si>
  <si>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</si>
  <si>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</si>
  <si>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</si>
  <si>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</si>
  <si>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</si>
  <si>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</si>
  <si>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</si>
  <si>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</si>
  <si>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</si>
  <si>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</si>
  <si>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</si>
  <si>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</si>
  <si>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</si>
  <si>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</si>
  <si>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</si>
  <si>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</si>
  <si>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</si>
  <si>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</si>
  <si>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</si>
  <si>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</si>
  <si>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</si>
  <si>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</si>
  <si>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</si>
  <si>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</si>
  <si>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</si>
  <si>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</si>
  <si>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</si>
  <si>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</si>
  <si>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</si>
  <si>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</si>
  <si>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</si>
  <si>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</si>
  <si>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</si>
  <si>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</si>
  <si>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</si>
  <si>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</si>
  <si>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</si>
  <si>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</si>
  <si>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</si>
  <si>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</si>
  <si>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</si>
  <si>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</si>
  <si>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</si>
  <si>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</si>
  <si>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</si>
  <si>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</si>
  <si>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</si>
  <si>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</si>
  <si>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</si>
  <si>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</si>
  <si>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</si>
  <si>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</si>
  <si>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</si>
  <si>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</si>
  <si>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</si>
  <si>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</si>
  <si>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</si>
  <si>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</si>
  <si>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</si>
  <si>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</si>
  <si>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</si>
  <si>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</si>
  <si>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</si>
  <si>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</si>
  <si>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</si>
  <si>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</si>
  <si>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</si>
  <si>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</si>
  <si>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</si>
  <si>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</si>
  <si>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</si>
  <si>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</si>
  <si>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</si>
  <si>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</si>
  <si>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</si>
  <si>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</si>
  <si>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</si>
  <si>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</si>
  <si>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</si>
  <si>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</si>
  <si>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</si>
  <si>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</si>
  <si>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</si>
  <si>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</si>
  <si>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</si>
  <si>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</si>
  <si>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</si>
  <si>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</si>
  <si>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</si>
  <si>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</si>
  <si>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</si>
  <si>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</si>
  <si>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</si>
  <si>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</si>
  <si>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</si>
  <si>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</si>
  <si>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</si>
  <si>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</si>
  <si>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</si>
  <si>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</si>
  <si>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</si>
  <si>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</si>
  <si>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</si>
  <si>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</si>
  <si>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</si>
  <si>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</si>
  <si>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</si>
  <si>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</si>
  <si>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</si>
  <si>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</si>
  <si>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</si>
  <si>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</si>
  <si>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</si>
  <si>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</si>
  <si>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</si>
  <si>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</si>
  <si>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</si>
  <si>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</si>
  <si>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</si>
  <si>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</si>
  <si>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</si>
  <si>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</si>
  <si>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</si>
  <si>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</si>
  <si>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</si>
  <si>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</si>
  <si>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</si>
  <si>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</si>
  <si>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</si>
  <si>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</si>
  <si>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</si>
  <si>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</si>
  <si>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</si>
  <si>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</si>
  <si>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</si>
  <si>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</si>
  <si>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</si>
  <si>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</si>
  <si>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</si>
  <si>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</si>
  <si>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</si>
  <si>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</si>
  <si>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</si>
  <si>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</si>
  <si>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</si>
  <si>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</si>
  <si>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</si>
  <si>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</si>
  <si>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</si>
  <si>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</si>
  <si>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</si>
  <si>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</si>
  <si>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</si>
  <si>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</si>
  <si>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</si>
  <si>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</si>
  <si>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</si>
  <si>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</si>
  <si>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</si>
  <si>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</si>
  <si>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</si>
  <si>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</si>
  <si>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</si>
  <si>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</si>
  <si>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</si>
  <si>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</si>
  <si>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</si>
  <si>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</si>
  <si>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</si>
  <si>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</si>
  <si>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</si>
  <si>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</si>
  <si>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</si>
  <si>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</si>
  <si>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</si>
  <si>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</si>
  <si>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</si>
  <si>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</si>
  <si>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</si>
  <si>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</si>
  <si>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</si>
  <si>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</si>
  <si>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</si>
  <si>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</si>
  <si>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</si>
  <si>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</si>
  <si>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</si>
  <si>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</si>
  <si>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</si>
  <si>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</si>
  <si>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</si>
  <si>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</si>
  <si>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</si>
  <si>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</si>
  <si>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</si>
  <si>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</si>
  <si>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</si>
  <si>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</si>
  <si>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</si>
  <si>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</si>
  <si>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</si>
  <si>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</si>
  <si>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</si>
  <si>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</si>
  <si>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</si>
  <si>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</si>
  <si>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</si>
  <si>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</si>
  <si>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</si>
  <si>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</si>
  <si>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</si>
  <si>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</si>
  <si>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</si>
  <si>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</si>
  <si>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</si>
  <si>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</si>
  <si>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</si>
  <si>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</si>
  <si>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</si>
  <si>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</si>
  <si>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</si>
  <si>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</si>
  <si>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</si>
  <si>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</si>
  <si>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</si>
  <si>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</si>
  <si>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</si>
  <si>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</si>
  <si>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</si>
  <si>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</si>
  <si>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</si>
  <si>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</si>
  <si>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</si>
  <si>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</si>
  <si>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</si>
  <si>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</si>
  <si>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</si>
  <si>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</si>
  <si>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</si>
  <si>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</si>
  <si>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</si>
  <si>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</si>
  <si>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</si>
  <si>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</si>
  <si>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</si>
  <si>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</si>
  <si>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</si>
  <si>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</si>
  <si>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</si>
  <si>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</si>
  <si>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</si>
  <si>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</si>
  <si>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</si>
  <si>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</si>
  <si>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</si>
  <si>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</si>
  <si>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</si>
  <si>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</si>
  <si>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</si>
  <si>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</si>
  <si>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</si>
  <si>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</si>
  <si>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</si>
  <si>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</si>
  <si>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</si>
  <si>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</si>
  <si>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</si>
  <si>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</si>
  <si>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</si>
  <si>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</si>
  <si>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</si>
  <si>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</si>
  <si>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</si>
  <si>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</si>
  <si>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</si>
  <si>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</si>
  <si>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</si>
  <si>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</si>
  <si>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</si>
  <si>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</si>
  <si>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</si>
  <si>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</si>
  <si>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</si>
  <si>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</si>
  <si>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</si>
  <si>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</si>
  <si>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</si>
  <si>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</si>
  <si>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</si>
  <si>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</si>
  <si>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</si>
  <si>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</si>
  <si>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</si>
  <si>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</si>
  <si>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</si>
  <si>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</si>
  <si>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</si>
  <si>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</si>
  <si>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</si>
  <si>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</si>
  <si>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</si>
  <si>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</si>
  <si>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</si>
  <si>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</si>
  <si>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</si>
  <si>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</si>
  <si>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</si>
  <si>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</si>
  <si>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</si>
  <si>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</si>
  <si>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</si>
  <si>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</si>
  <si>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</si>
  <si>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</si>
  <si>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</si>
  <si>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</si>
  <si>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</si>
  <si>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</si>
  <si>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</si>
  <si>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</si>
  <si>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</si>
  <si>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</si>
  <si>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</si>
  <si>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</si>
  <si>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</si>
  <si>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</si>
  <si>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</si>
  <si>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</si>
  <si>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</si>
  <si>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</si>
  <si>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</si>
  <si>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</si>
  <si>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</si>
  <si>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</si>
  <si>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</si>
  <si>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</si>
  <si>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</si>
  <si>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</si>
  <si>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</si>
  <si>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</si>
  <si>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</si>
  <si>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</si>
  <si>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</si>
  <si>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</si>
  <si>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</si>
  <si>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</si>
  <si>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</si>
  <si>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</si>
  <si>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</si>
  <si>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</si>
  <si>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</si>
  <si>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</si>
  <si>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</si>
  <si>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</si>
  <si>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</si>
  <si>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</si>
  <si>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</si>
  <si>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</si>
  <si>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</si>
  <si>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</si>
  <si>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</si>
  <si>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</si>
  <si>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</si>
  <si>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</si>
  <si>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</si>
  <si>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</si>
  <si>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</si>
  <si>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</si>
  <si>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</si>
  <si>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</si>
  <si>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</si>
  <si>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</si>
  <si>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</si>
  <si>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</si>
  <si>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</si>
  <si>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</si>
  <si>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</si>
  <si>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</si>
  <si>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</si>
  <si>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</si>
  <si>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</si>
  <si>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</si>
  <si>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</si>
  <si>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</si>
  <si>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</si>
  <si>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</si>
  <si>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</si>
  <si>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</si>
  <si>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</si>
  <si>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</si>
  <si>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</si>
  <si>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</si>
  <si>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</si>
  <si>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</si>
  <si>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</si>
  <si>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</si>
  <si>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</si>
  <si>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</si>
  <si>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</si>
  <si>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</si>
  <si>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</si>
  <si>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</si>
  <si>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</si>
  <si>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</si>
  <si>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</si>
  <si>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</si>
  <si>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</si>
  <si>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</si>
  <si>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</si>
  <si>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</si>
  <si>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</si>
  <si>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</si>
  <si>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</si>
  <si>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</si>
  <si>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</si>
  <si>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</si>
  <si>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</si>
  <si>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</si>
  <si>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</si>
  <si>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</si>
  <si>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</si>
  <si>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</si>
  <si>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</si>
  <si>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</si>
  <si>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</si>
  <si>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</si>
  <si>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</si>
  <si>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</si>
  <si>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</si>
  <si>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</si>
  <si>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</si>
  <si>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</si>
  <si>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</si>
  <si>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</si>
  <si>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</si>
  <si>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</si>
  <si>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</si>
  <si>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</si>
  <si>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</si>
  <si>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</si>
  <si>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</si>
  <si>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</si>
  <si>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</si>
  <si>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</si>
  <si>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</si>
  <si>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</si>
  <si>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</si>
  <si>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</si>
  <si>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</si>
  <si>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</si>
  <si>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</si>
  <si>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</si>
  <si>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</si>
  <si>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</si>
  <si>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</si>
  <si>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</si>
  <si>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</si>
  <si>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</si>
  <si>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</si>
  <si>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</si>
  <si>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</si>
  <si>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</si>
  <si>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</si>
  <si>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</si>
  <si>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</si>
  <si>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</si>
  <si>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</si>
  <si>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</si>
  <si>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</si>
  <si>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</si>
  <si>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</si>
  <si>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</si>
  <si>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</si>
  <si>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</si>
  <si>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</si>
  <si>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</si>
  <si>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</si>
  <si>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</si>
  <si>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</si>
  <si>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</si>
  <si>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</si>
  <si>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</si>
  <si>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</si>
  <si>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</si>
  <si>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</si>
  <si>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</si>
  <si>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</si>
  <si>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</si>
  <si>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</si>
  <si>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</si>
  <si>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</si>
  <si>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</si>
  <si>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</si>
  <si>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</si>
  <si>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</si>
  <si>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</si>
  <si>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</si>
  <si>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</si>
  <si>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</si>
  <si>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</si>
  <si>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</si>
  <si>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</si>
  <si>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</si>
  <si>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</si>
  <si>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</si>
  <si>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</si>
  <si>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</si>
  <si>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</si>
  <si>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</si>
  <si>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</si>
  <si>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</si>
  <si>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</si>
  <si>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</si>
  <si>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</si>
  <si>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</si>
  <si>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</si>
  <si>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</si>
  <si>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</si>
  <si>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</si>
  <si>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</si>
  <si>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</si>
  <si>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</si>
  <si>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</si>
  <si>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</si>
  <si>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</si>
  <si>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</si>
  <si>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</si>
  <si>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</si>
  <si>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</si>
  <si>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</si>
  <si>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</si>
  <si>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</si>
  <si>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</si>
  <si>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</si>
  <si>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</si>
  <si>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</si>
  <si>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</si>
  <si>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</si>
  <si>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</si>
  <si>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</si>
  <si>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</si>
  <si>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</si>
  <si>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</si>
  <si>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</si>
  <si>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</si>
  <si>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</si>
  <si>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</si>
  <si>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</si>
  <si>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</si>
  <si>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</si>
  <si>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</si>
  <si>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</si>
  <si>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</si>
  <si>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</si>
  <si>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</si>
  <si>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</si>
  <si>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</si>
  <si>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</si>
  <si>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</si>
  <si>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</si>
  <si>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</si>
  <si>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</si>
  <si>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</si>
  <si>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</si>
  <si>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</si>
  <si>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</si>
  <si>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</si>
  <si>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</si>
  <si>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</si>
  <si>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</si>
  <si>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</si>
  <si>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</si>
  <si>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</si>
  <si>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</si>
  <si>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</si>
  <si>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</si>
  <si>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</si>
  <si>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</si>
  <si>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</si>
  <si>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</si>
  <si>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</si>
  <si>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</si>
  <si>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</si>
  <si>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</si>
  <si>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</si>
  <si>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</si>
  <si>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</si>
  <si>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</si>
  <si>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</si>
  <si>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</si>
  <si>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</si>
  <si>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</si>
  <si>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</si>
  <si>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</si>
  <si>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</si>
  <si>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</si>
  <si>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</si>
  <si>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</si>
  <si>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</si>
  <si>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</si>
  <si>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</si>
  <si>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</si>
  <si>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</si>
  <si>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</si>
  <si>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</si>
  <si>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</si>
  <si>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</si>
  <si>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</si>
  <si>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</si>
  <si>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</si>
  <si>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</si>
  <si>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</si>
  <si>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</si>
  <si>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</si>
  <si>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</si>
  <si>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</si>
  <si>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</si>
  <si>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</si>
  <si>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</si>
  <si>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</si>
  <si>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</si>
  <si>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</si>
  <si>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</si>
  <si>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</si>
  <si>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</si>
  <si>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</si>
  <si>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</si>
  <si>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</si>
  <si>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</si>
  <si>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</si>
  <si>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</si>
  <si>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</si>
  <si>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</si>
  <si>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</si>
  <si>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</si>
  <si>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</si>
  <si>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</si>
  <si>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</si>
  <si>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</si>
  <si>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</si>
  <si>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</si>
  <si>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</si>
  <si>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</si>
  <si>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</si>
  <si>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</si>
  <si>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</si>
  <si>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</si>
  <si>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</si>
  <si>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</si>
  <si>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</si>
  <si>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</si>
  <si>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</si>
  <si>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</si>
  <si>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</si>
  <si>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</si>
  <si>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</si>
  <si>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</si>
  <si>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</si>
  <si>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</si>
  <si>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</si>
  <si>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</si>
  <si>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</si>
  <si>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</si>
  <si>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</si>
  <si>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</si>
  <si>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</si>
  <si>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</si>
  <si>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</si>
  <si>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</si>
  <si>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</si>
  <si>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</si>
  <si>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</si>
  <si>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</si>
  <si>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</si>
  <si>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</si>
  <si>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</si>
  <si>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</si>
  <si>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</si>
  <si>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</si>
  <si>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</si>
  <si>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</si>
  <si>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</si>
  <si>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</si>
  <si>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</si>
  <si>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</si>
  <si>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</si>
  <si>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</si>
  <si>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</si>
  <si>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</si>
  <si>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</si>
  <si>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</si>
  <si>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</si>
  <si>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</si>
  <si>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</si>
  <si>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</si>
  <si>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</si>
  <si>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</si>
  <si>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</si>
  <si>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</si>
  <si>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</si>
  <si>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</si>
  <si>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</si>
  <si>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</si>
  <si>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</si>
  <si>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</si>
  <si>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</si>
  <si>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</si>
  <si>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</si>
  <si>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</si>
  <si>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</si>
  <si>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</si>
  <si>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</si>
  <si>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</si>
  <si>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</si>
  <si>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</si>
  <si>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</si>
  <si>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</si>
  <si>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</si>
  <si>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</si>
  <si>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</si>
  <si>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</si>
  <si>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</si>
  <si>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</si>
  <si>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</si>
  <si>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</si>
  <si>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</si>
  <si>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</si>
  <si>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</si>
  <si>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</si>
  <si>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</si>
  <si>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</si>
  <si>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</si>
  <si>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</si>
  <si>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</si>
  <si>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</si>
  <si>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</si>
  <si>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</si>
  <si>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</si>
  <si>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</si>
  <si>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</si>
  <si>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</si>
  <si>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</si>
  <si>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</si>
  <si>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</si>
  <si>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</si>
  <si>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</si>
  <si>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</si>
  <si>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</si>
  <si>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</si>
  <si>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</si>
  <si>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</si>
  <si>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</si>
  <si>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</si>
  <si>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</si>
  <si>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</si>
  <si>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</si>
  <si>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</si>
  <si>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</si>
  <si>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</si>
  <si>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</si>
  <si>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</si>
  <si>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</si>
  <si>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</si>
  <si>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</si>
  <si>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</si>
  <si>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</si>
  <si>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</si>
  <si>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</si>
  <si>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</si>
  <si>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</si>
  <si>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</si>
  <si>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</si>
  <si>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</si>
  <si>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</si>
  <si>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</si>
  <si>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</si>
  <si>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</si>
  <si>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</si>
  <si>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</si>
  <si>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</si>
  <si>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</si>
  <si>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</si>
  <si>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</si>
  <si>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</si>
  <si>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</si>
  <si>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</si>
  <si>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</si>
  <si>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</si>
  <si>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</si>
  <si>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</si>
  <si>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</si>
  <si>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</si>
  <si>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</si>
  <si>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</si>
  <si>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</si>
  <si>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</si>
  <si>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</si>
  <si>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</si>
  <si>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</si>
  <si>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</si>
  <si>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</si>
  <si>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</si>
  <si>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</si>
  <si>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</si>
  <si>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</si>
  <si>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</si>
  <si>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</si>
  <si>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</si>
  <si>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</si>
  <si>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</si>
  <si>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</si>
  <si>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</si>
  <si>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</si>
  <si>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</si>
  <si>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</si>
  <si>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</si>
  <si>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</si>
  <si>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</si>
  <si>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</si>
  <si>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</si>
  <si>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</si>
  <si>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</si>
  <si>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</si>
  <si>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</si>
  <si>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</si>
  <si>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</si>
  <si>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</si>
  <si>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</si>
  <si>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</si>
  <si>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</si>
  <si>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</si>
  <si>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</si>
  <si>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</si>
  <si>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</si>
  <si>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</si>
  <si>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</si>
  <si>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</si>
  <si>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</si>
  <si>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</si>
  <si>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</si>
  <si>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</si>
  <si>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</si>
  <si>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</si>
  <si>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</si>
  <si>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</si>
  <si>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</si>
  <si>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</si>
  <si>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</si>
  <si>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</si>
  <si>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</si>
  <si>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</si>
  <si>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</si>
  <si>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</si>
  <si>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</si>
  <si>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</si>
  <si>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</si>
  <si>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</si>
  <si>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</si>
  <si>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</si>
  <si>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</si>
  <si>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</si>
  <si>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</si>
  <si>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</si>
  <si>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</si>
  <si>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</si>
  <si>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</si>
  <si>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</si>
  <si>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</si>
  <si>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</si>
  <si>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</si>
  <si>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</si>
  <si>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</si>
  <si>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</si>
  <si>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</si>
  <si>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</si>
  <si>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</si>
  <si>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</si>
  <si>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</si>
  <si>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</si>
  <si>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</si>
  <si>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</si>
  <si>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</si>
  <si>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</si>
  <si>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</si>
  <si>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</si>
  <si>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</si>
  <si>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</si>
  <si>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</si>
  <si>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</si>
  <si>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</si>
  <si>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</si>
  <si>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</si>
  <si>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</si>
  <si>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</si>
  <si>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</si>
  <si>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</si>
  <si>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</si>
  <si>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</si>
  <si>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</si>
  <si>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</si>
  <si>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</si>
  <si>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</si>
  <si>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</si>
  <si>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</si>
  <si>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</si>
  <si>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</si>
  <si>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</si>
  <si>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</si>
  <si>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</si>
  <si>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</si>
  <si>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</si>
  <si>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</si>
  <si>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</si>
  <si>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</si>
  <si>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</si>
  <si>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</si>
  <si>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</si>
  <si>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</si>
  <si>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</si>
  <si>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</si>
  <si>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</si>
  <si>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</si>
  <si>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</si>
  <si>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</si>
  <si>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</si>
  <si>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</si>
  <si>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</si>
  <si>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</si>
  <si>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</si>
  <si>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</si>
  <si>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</si>
  <si>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</si>
  <si>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</si>
  <si>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</si>
  <si>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</si>
  <si>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</si>
  <si>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</si>
  <si>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</si>
  <si>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</si>
  <si>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</si>
  <si>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</si>
  <si>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</si>
  <si>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</si>
  <si>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</si>
  <si>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</si>
  <si>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</si>
  <si>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</si>
  <si>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</si>
  <si>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</si>
  <si>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</si>
  <si>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</si>
  <si>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</si>
  <si>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</si>
  <si>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</si>
  <si>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</si>
  <si>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</si>
  <si>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</si>
  <si>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</si>
  <si>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</si>
  <si>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</si>
  <si>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</si>
  <si>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</si>
  <si>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</si>
  <si>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</si>
  <si>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</si>
  <si>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</si>
  <si>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</si>
  <si>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</si>
  <si>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</si>
  <si>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</si>
  <si>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</si>
  <si>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</si>
  <si>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</si>
  <si>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</si>
  <si>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</si>
  <si>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</si>
  <si>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</si>
  <si>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</si>
  <si>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</si>
  <si>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</si>
  <si>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</si>
  <si>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</si>
  <si>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</si>
  <si>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</si>
  <si>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</si>
  <si>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</si>
  <si>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</si>
  <si>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</si>
  <si>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</si>
  <si>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</si>
  <si>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</si>
  <si>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</si>
  <si>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</si>
  <si>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</si>
  <si>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</si>
  <si>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</si>
  <si>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</si>
  <si>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</si>
  <si>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</si>
  <si>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</si>
  <si>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</si>
  <si>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</si>
  <si>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</si>
  <si>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</si>
  <si>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</si>
  <si>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</si>
  <si>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</si>
  <si>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</si>
  <si>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</si>
  <si>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</si>
  <si>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</si>
  <si>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</si>
  <si>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</si>
  <si>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</si>
  <si>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</si>
  <si>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</si>
  <si>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</si>
  <si>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</si>
  <si>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</si>
  <si>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</si>
  <si>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</si>
  <si>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</si>
  <si>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</si>
  <si>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</si>
  <si>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</si>
  <si>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</si>
  <si>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</si>
  <si>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</si>
  <si>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</si>
  <si>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</si>
  <si>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</si>
  <si>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</si>
  <si>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</si>
  <si>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</si>
  <si>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</si>
  <si>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</si>
  <si>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</si>
  <si>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</si>
  <si>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</si>
  <si>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</si>
  <si>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</si>
  <si>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</si>
  <si>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</si>
  <si>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</si>
  <si>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</si>
  <si>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</si>
  <si>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</si>
  <si>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</si>
  <si>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</si>
  <si>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</si>
  <si>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</si>
  <si>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</si>
  <si>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</si>
  <si>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</si>
  <si>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</si>
  <si>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</si>
  <si>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</si>
  <si>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</si>
  <si>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</si>
  <si>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</si>
  <si>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</si>
  <si>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</si>
  <si>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</si>
  <si>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</si>
  <si>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</si>
  <si>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</si>
  <si>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</si>
  <si>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</si>
  <si>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</si>
  <si>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</si>
  <si>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</si>
  <si>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</si>
  <si>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</si>
  <si>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</si>
  <si>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</si>
  <si>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</si>
  <si>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</si>
  <si>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</si>
  <si>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</si>
  <si>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</si>
  <si>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</si>
  <si>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</si>
  <si>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</si>
  <si>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</si>
  <si>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</si>
  <si>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</si>
  <si>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</si>
  <si>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</si>
  <si>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</si>
  <si>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</si>
  <si>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</si>
  <si>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</si>
  <si>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</si>
  <si>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</si>
  <si>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</si>
  <si>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</si>
  <si>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</si>
  <si>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</si>
  <si>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</si>
  <si>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</si>
  <si>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</si>
  <si>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</si>
  <si>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</si>
  <si>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</si>
  <si>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</si>
  <si>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</si>
  <si>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</si>
  <si>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</si>
  <si>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</si>
  <si>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</si>
  <si>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</si>
  <si>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</si>
  <si>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</si>
  <si>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</si>
  <si>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</si>
  <si>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</si>
  <si>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</si>
  <si>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</si>
  <si>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</si>
  <si>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</si>
  <si>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</si>
  <si>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</si>
  <si>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</si>
  <si>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</si>
  <si>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</si>
  <si>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</si>
  <si>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</si>
  <si>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</si>
  <si>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</si>
  <si>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</si>
  <si>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</si>
  <si>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</si>
  <si>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</si>
  <si>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</si>
  <si>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</si>
  <si>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</si>
  <si>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</si>
  <si>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</si>
  <si>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</si>
  <si>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</si>
  <si>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</si>
  <si>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</si>
  <si>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</si>
  <si>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</si>
  <si>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</si>
  <si>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</si>
  <si>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</si>
  <si>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</si>
  <si>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</si>
  <si>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</si>
  <si>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</si>
  <si>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</si>
  <si>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</si>
  <si>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</si>
  <si>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</si>
  <si>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</si>
  <si>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</si>
  <si>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</si>
  <si>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</si>
  <si>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</si>
  <si>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</si>
  <si>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</si>
  <si>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</si>
  <si>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</si>
  <si>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</si>
  <si>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</si>
  <si>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</si>
  <si>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</si>
  <si>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</si>
  <si>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</si>
  <si>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</si>
  <si>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</si>
  <si>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</si>
  <si>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</si>
  <si>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</si>
  <si>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</si>
  <si>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</si>
  <si>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</si>
  <si>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</si>
  <si>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</si>
  <si>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</si>
  <si>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</si>
  <si>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</si>
  <si>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</si>
  <si>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</si>
  <si>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</si>
  <si>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</si>
  <si>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</si>
  <si>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</si>
  <si>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</si>
  <si>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</si>
  <si>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</si>
  <si>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</si>
  <si>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</si>
  <si>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</si>
  <si>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</si>
  <si>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</si>
  <si>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</si>
  <si>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</si>
  <si>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</si>
  <si>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</si>
  <si>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</si>
  <si>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</si>
  <si>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</si>
  <si>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</si>
  <si>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</si>
  <si>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</si>
  <si>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</si>
  <si>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</si>
  <si>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</si>
  <si>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</si>
  <si>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</si>
  <si>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</si>
  <si>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</si>
  <si>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</si>
  <si>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</si>
  <si>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</si>
  <si>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</si>
  <si>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</si>
  <si>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</si>
  <si>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</si>
  <si>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</si>
  <si>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</si>
  <si>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</si>
  <si>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</si>
  <si>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</si>
  <si>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</si>
  <si>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</si>
  <si>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</si>
  <si>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</si>
  <si>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</si>
  <si>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</si>
  <si>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</si>
  <si>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</si>
  <si>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</si>
  <si>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</si>
  <si>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</si>
  <si>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</si>
  <si>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</si>
  <si>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</si>
  <si>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</si>
  <si>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</si>
  <si>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</si>
  <si>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</si>
  <si>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</si>
  <si>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</si>
  <si>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</si>
  <si>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</si>
  <si>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</si>
  <si>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</si>
  <si>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</si>
  <si>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</si>
  <si>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</si>
  <si>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</si>
  <si>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</si>
  <si>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</si>
  <si>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</si>
  <si>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</si>
  <si>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</si>
  <si>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</si>
  <si>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</si>
  <si>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</si>
  <si>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</si>
  <si>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</si>
  <si>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</si>
  <si>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</si>
  <si>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</si>
  <si>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</si>
  <si>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</si>
  <si>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</si>
  <si>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</si>
  <si>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</si>
  <si>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</si>
  <si>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</si>
  <si>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</si>
  <si>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</si>
  <si>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</si>
  <si>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</si>
  <si>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</si>
  <si>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</si>
  <si>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</si>
  <si>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</si>
  <si>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</si>
  <si>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</si>
  <si>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</si>
  <si>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</si>
  <si>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</si>
  <si>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</si>
  <si>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</si>
  <si>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</si>
  <si>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</si>
  <si>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</si>
  <si>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</si>
  <si>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</si>
  <si>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</si>
  <si>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</si>
  <si>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</si>
  <si>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</si>
  <si>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</si>
  <si>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</si>
  <si>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</si>
  <si>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</si>
  <si>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</si>
  <si>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</si>
  <si>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</si>
  <si>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</si>
  <si>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</si>
  <si>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</si>
  <si>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</si>
  <si>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</si>
  <si>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</si>
  <si>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</si>
  <si>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</si>
  <si>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</si>
  <si>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</si>
  <si>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</si>
  <si>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</si>
  <si>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</si>
  <si>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</si>
  <si>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</si>
  <si>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</si>
  <si>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</si>
  <si>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</si>
  <si>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</si>
  <si>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</si>
  <si>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</si>
  <si>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</si>
  <si>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</si>
  <si>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</si>
  <si>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</si>
  <si>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</si>
  <si>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</si>
  <si>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</si>
  <si>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</si>
  <si>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</si>
  <si>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</si>
  <si>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</si>
  <si>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</si>
  <si>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</si>
  <si>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</si>
  <si>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</si>
  <si>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</si>
  <si>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</si>
  <si>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</si>
  <si>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</si>
  <si>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</si>
  <si>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</si>
  <si>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</si>
  <si>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</si>
  <si>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</si>
  <si>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</si>
  <si>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</si>
  <si>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</si>
  <si>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</si>
  <si>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</si>
  <si>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</si>
  <si>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</si>
  <si>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</si>
  <si>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</si>
  <si>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</si>
  <si>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</si>
  <si>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</si>
  <si>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</si>
  <si>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</si>
  <si>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</si>
  <si>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</si>
  <si>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</si>
  <si>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</si>
  <si>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</si>
  <si>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</si>
  <si>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</si>
  <si>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</si>
  <si>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</si>
  <si>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</si>
  <si>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</si>
  <si>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</si>
  <si>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</si>
  <si>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</si>
  <si>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</si>
  <si>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</si>
  <si>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</si>
  <si>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</si>
  <si>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</si>
  <si>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</si>
  <si>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</si>
  <si>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</si>
  <si>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</si>
  <si>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</si>
  <si>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</si>
  <si>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</si>
  <si>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</si>
  <si>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</si>
  <si>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</si>
  <si>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</si>
  <si>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</si>
  <si>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</si>
  <si>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</si>
  <si>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</si>
  <si>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</si>
  <si>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</si>
  <si>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</si>
  <si>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</si>
  <si>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</si>
  <si>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</si>
  <si>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</si>
  <si>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</si>
  <si>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</si>
  <si>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</si>
  <si>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</si>
  <si>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</si>
  <si>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</si>
  <si>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</si>
  <si>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</si>
  <si>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</si>
  <si>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</si>
  <si>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</si>
  <si>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</si>
  <si>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</si>
  <si>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</si>
  <si>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</si>
  <si>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</si>
  <si>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</si>
  <si>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</si>
  <si>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</si>
  <si>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</si>
  <si>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</si>
  <si>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</si>
  <si>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</si>
  <si>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</si>
  <si>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</si>
  <si>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</si>
  <si>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</si>
  <si>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</si>
  <si>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</si>
  <si>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</si>
  <si>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</si>
  <si>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</si>
  <si>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</si>
  <si>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</si>
  <si>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</si>
  <si>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</si>
  <si>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</si>
  <si>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</si>
  <si>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</si>
  <si>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</si>
  <si>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</si>
  <si>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</si>
  <si>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</si>
  <si>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</si>
  <si>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</si>
  <si>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</si>
  <si>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</si>
  <si>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</si>
  <si>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</si>
  <si>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</si>
  <si>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</si>
  <si>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</si>
  <si>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</si>
  <si>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</si>
  <si>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</si>
  <si>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</si>
  <si>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</si>
  <si>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</si>
  <si>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</si>
  <si>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</si>
  <si>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</si>
  <si>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</si>
  <si>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</si>
  <si>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</si>
  <si>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</si>
  <si>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</si>
  <si>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</si>
  <si>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</si>
  <si>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</si>
  <si>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</si>
  <si>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</si>
  <si>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</si>
  <si>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</si>
  <si>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</si>
  <si>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</si>
  <si>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</si>
  <si>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</si>
  <si>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</si>
  <si>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</si>
  <si>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</si>
  <si>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</si>
  <si>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</si>
  <si>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</si>
  <si>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</si>
  <si>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</si>
  <si>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</si>
  <si>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</si>
  <si>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</si>
  <si>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</si>
  <si>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</si>
  <si>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</si>
  <si>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</si>
  <si>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</si>
  <si>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</si>
  <si>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</si>
  <si>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</si>
  <si>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</si>
  <si>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</si>
  <si>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</si>
  <si>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</si>
  <si>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</si>
  <si>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</si>
  <si>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</si>
  <si>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</si>
  <si>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</si>
  <si>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</si>
  <si>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</si>
  <si>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</si>
  <si>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</si>
  <si>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</si>
  <si>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</si>
  <si>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</si>
  <si>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</si>
  <si>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</si>
  <si>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</si>
  <si>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</si>
  <si>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</si>
  <si>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</si>
  <si>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</si>
  <si>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</si>
  <si>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</si>
  <si>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</si>
  <si>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</si>
  <si>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</si>
  <si>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</si>
  <si>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</si>
  <si>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</si>
  <si>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</si>
  <si>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</si>
  <si>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</si>
  <si>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</si>
  <si>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</si>
  <si>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</si>
  <si>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</si>
  <si>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</si>
  <si>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</si>
  <si>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</si>
  <si>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</si>
  <si>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</si>
  <si>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</si>
  <si>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</si>
  <si>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</si>
  <si>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</si>
  <si>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</si>
  <si>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</si>
  <si>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</si>
  <si>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</si>
  <si>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</si>
  <si>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</si>
  <si>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</si>
  <si>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</si>
  <si>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</si>
  <si>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</si>
  <si>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</si>
  <si>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</si>
  <si>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</si>
  <si>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</si>
  <si>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</si>
  <si>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</si>
  <si>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</si>
  <si>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</si>
  <si>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</si>
  <si>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</si>
  <si>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</si>
  <si>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</si>
  <si>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</si>
  <si>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</si>
  <si>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</si>
  <si>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</si>
  <si>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</si>
  <si>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</si>
  <si>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</si>
  <si>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</si>
  <si>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</si>
  <si>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</si>
  <si>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</si>
  <si>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</si>
  <si>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</si>
  <si>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</si>
  <si>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</si>
  <si>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</si>
  <si>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</si>
  <si>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</si>
  <si>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</si>
  <si>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</si>
  <si>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</si>
  <si>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</si>
  <si>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</si>
  <si>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</si>
  <si>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</si>
  <si>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</si>
  <si>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</si>
  <si>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</si>
  <si>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</si>
  <si>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</si>
  <si>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</si>
  <si>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</si>
  <si>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</si>
  <si>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</si>
  <si>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</si>
  <si>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</si>
  <si>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</si>
  <si>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</si>
  <si>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</si>
  <si>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</si>
  <si>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</si>
  <si>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</si>
  <si>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</si>
  <si>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</si>
  <si>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</si>
  <si>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</si>
  <si>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</si>
  <si>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</si>
  <si>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</si>
  <si>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</si>
  <si>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</si>
  <si>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</si>
  <si>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</si>
  <si>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</si>
  <si>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</si>
  <si>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</si>
  <si>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</si>
  <si>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</si>
  <si>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</si>
  <si>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</si>
  <si>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</si>
  <si>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</si>
  <si>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</si>
  <si>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</si>
  <si>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</si>
  <si>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</si>
  <si>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</si>
  <si>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</si>
  <si>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</si>
  <si>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</si>
  <si>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</si>
  <si>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</si>
  <si>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</si>
  <si>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</si>
  <si>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</si>
  <si>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</si>
  <si>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</si>
  <si>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</si>
  <si>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</si>
  <si>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</si>
  <si>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</si>
  <si>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</si>
  <si>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</si>
  <si>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</si>
  <si>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</si>
  <si>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</si>
  <si>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</si>
  <si>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</si>
  <si>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</si>
  <si>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</si>
  <si>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</si>
  <si>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</si>
  <si>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</si>
  <si>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</si>
  <si>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</si>
  <si>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</si>
  <si>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</si>
  <si>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</si>
  <si>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</si>
  <si>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</si>
  <si>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</si>
  <si>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</si>
  <si>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</si>
  <si>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</si>
  <si>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</si>
  <si>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</si>
  <si>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</si>
  <si>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</si>
  <si>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</si>
  <si>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</si>
  <si>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</si>
  <si>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</si>
  <si>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</si>
  <si>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</si>
  <si>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</si>
  <si>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</si>
  <si>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</si>
  <si>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</si>
  <si>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</si>
  <si>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</si>
  <si>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</si>
  <si>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</si>
  <si>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</si>
  <si>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</si>
  <si>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</si>
  <si>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</si>
  <si>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</si>
  <si>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</si>
  <si>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</si>
  <si>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</si>
  <si>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</si>
  <si>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</si>
  <si>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</si>
  <si>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</si>
  <si>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</si>
  <si>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</si>
  <si>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</si>
  <si>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</si>
  <si>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</si>
  <si>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</si>
  <si>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</si>
  <si>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</si>
  <si>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</si>
  <si>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</si>
  <si>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</si>
  <si>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</si>
  <si>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</si>
  <si>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</si>
  <si>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</si>
  <si>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</si>
  <si>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</si>
  <si>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</si>
  <si>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</si>
  <si>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</si>
  <si>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</si>
  <si>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</si>
  <si>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</si>
  <si>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</si>
  <si>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</si>
  <si>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</si>
  <si>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</si>
  <si>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</si>
  <si>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</si>
  <si>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</si>
  <si>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</si>
  <si>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</si>
  <si>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</si>
  <si>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</si>
  <si>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</si>
  <si>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</si>
  <si>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</si>
  <si>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</si>
  <si>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</si>
  <si>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</si>
  <si>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</si>
  <si>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</si>
  <si>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</si>
  <si>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</si>
  <si>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</si>
  <si>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</si>
  <si>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</si>
  <si>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</si>
  <si>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</si>
  <si>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</si>
  <si>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</si>
  <si>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</si>
  <si>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</si>
  <si>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</si>
  <si>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</si>
  <si>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</si>
  <si>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</si>
  <si>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</si>
  <si>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</si>
  <si>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</si>
  <si>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</si>
  <si>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</si>
  <si>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</si>
  <si>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</si>
  <si>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</si>
  <si>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</si>
  <si>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</si>
  <si>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</si>
  <si>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</si>
  <si>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</si>
  <si>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</si>
  <si>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</si>
  <si>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</si>
  <si>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</si>
  <si>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</si>
  <si>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</si>
  <si>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</si>
  <si>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</si>
  <si>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</si>
  <si>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</si>
  <si>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</si>
  <si>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</si>
  <si>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</si>
  <si>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</si>
  <si>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</si>
  <si>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</si>
  <si>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</si>
  <si>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</si>
  <si>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</si>
  <si>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</si>
  <si>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</si>
  <si>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</si>
  <si>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</si>
  <si>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</si>
  <si>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</si>
  <si>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</si>
  <si>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</si>
  <si>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</si>
  <si>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</si>
  <si>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</si>
  <si>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</si>
  <si>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</si>
  <si>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</si>
  <si>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</si>
  <si>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</si>
  <si>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</si>
  <si>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</si>
  <si>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</si>
  <si>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</si>
  <si>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</si>
  <si>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</si>
  <si>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</si>
  <si>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</si>
  <si>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</si>
  <si>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</si>
  <si>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</si>
  <si>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</si>
  <si>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</si>
  <si>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</si>
  <si>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</si>
  <si>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</si>
  <si>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</si>
  <si>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</si>
  <si>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</si>
  <si>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</si>
  <si>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</si>
  <si>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</si>
  <si>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</si>
  <si>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</si>
  <si>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</si>
  <si>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</si>
  <si>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</si>
  <si>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</si>
  <si>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</si>
  <si>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</si>
  <si>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</si>
  <si>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</si>
  <si>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</si>
  <si>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</si>
  <si>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</si>
  <si>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</si>
  <si>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</si>
  <si>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</si>
  <si>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</si>
  <si>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</si>
  <si>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</si>
  <si>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</si>
  <si>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</si>
  <si>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</si>
  <si>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</si>
  <si>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</si>
  <si>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</si>
  <si>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</si>
  <si>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</si>
  <si>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</si>
  <si>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</si>
  <si>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</si>
  <si>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</si>
  <si>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</si>
  <si>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</si>
  <si>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</si>
  <si>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</si>
  <si>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</si>
  <si>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</si>
  <si>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</si>
  <si>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</si>
  <si>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</si>
  <si>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</si>
  <si>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</si>
  <si>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</si>
  <si>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</si>
  <si>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</si>
  <si>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</si>
  <si>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</si>
  <si>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</si>
  <si>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</si>
  <si>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</si>
  <si>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</si>
  <si>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</si>
  <si>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</si>
  <si>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</si>
  <si>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</si>
  <si>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</si>
  <si>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</si>
  <si>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</si>
  <si>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</si>
  <si>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</si>
  <si>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</si>
  <si>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</si>
  <si>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</si>
  <si>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</si>
  <si>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</si>
  <si>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</si>
  <si>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</si>
  <si>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</si>
  <si>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</si>
  <si>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</si>
  <si>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</si>
  <si>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</si>
  <si>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</si>
  <si>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</si>
  <si>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</si>
  <si>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</si>
  <si>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</si>
  <si>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</si>
  <si>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</si>
  <si>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</si>
  <si>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</si>
  <si>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</si>
  <si>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</si>
  <si>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</si>
  <si>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</si>
  <si>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</si>
  <si>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</si>
  <si>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</si>
  <si>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</si>
  <si>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</si>
  <si>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</si>
  <si>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</si>
  <si>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</si>
  <si>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</si>
  <si>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</si>
  <si>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</si>
  <si>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</si>
  <si>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</si>
  <si>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</si>
  <si>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</si>
  <si>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</si>
  <si>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</si>
  <si>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</si>
  <si>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</si>
  <si>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</si>
  <si>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</si>
  <si>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</si>
  <si>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</si>
  <si>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</si>
  <si>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</si>
  <si>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</si>
  <si>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</si>
  <si>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</si>
  <si>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</si>
  <si>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</si>
  <si>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</si>
  <si>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</si>
  <si>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</si>
  <si>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</si>
  <si>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</si>
  <si>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</si>
  <si>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</si>
  <si>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</si>
  <si>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</si>
  <si>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</si>
  <si>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</si>
  <si>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</si>
  <si>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</si>
  <si>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</si>
  <si>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</si>
  <si>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</si>
  <si>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</si>
  <si>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</si>
  <si>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</si>
  <si>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</si>
  <si>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</si>
  <si>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</si>
  <si>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</si>
  <si>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</si>
  <si>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</si>
  <si>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</si>
  <si>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</si>
  <si>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</si>
  <si>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</si>
  <si>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</si>
  <si>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</si>
  <si>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</si>
  <si>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</si>
  <si>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</si>
  <si>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</si>
  <si>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</si>
  <si>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</si>
  <si>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</si>
  <si>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</si>
  <si>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</si>
  <si>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</si>
  <si>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</si>
  <si>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</si>
  <si>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</si>
  <si>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</si>
  <si>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</si>
  <si>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</si>
  <si>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</si>
  <si>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</si>
  <si>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</si>
  <si>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</si>
  <si>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</si>
  <si>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</si>
  <si>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</si>
  <si>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</si>
  <si>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</si>
  <si>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</si>
  <si>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</si>
  <si>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</si>
  <si>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</si>
  <si>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</si>
  <si>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</si>
  <si>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</si>
  <si>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</si>
  <si>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</si>
  <si>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</si>
  <si>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</si>
  <si>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</si>
  <si>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</si>
  <si>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</si>
  <si>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</si>
  <si>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</si>
  <si>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</si>
  <si>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</si>
  <si>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</si>
  <si>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</si>
  <si>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</si>
  <si>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</si>
  <si>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</si>
  <si>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</si>
  <si>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</si>
  <si>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</si>
  <si>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</si>
  <si>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</si>
  <si>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</si>
  <si>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</si>
  <si>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</si>
  <si>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</si>
  <si>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</si>
  <si>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</si>
  <si>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</si>
  <si>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</si>
  <si>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</si>
  <si>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</si>
  <si>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</si>
  <si>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</si>
  <si>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</si>
  <si>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</si>
  <si>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</si>
  <si>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</si>
  <si>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</si>
  <si>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</si>
  <si>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</si>
  <si>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</si>
  <si>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</si>
  <si>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</si>
  <si>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</si>
  <si>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</si>
  <si>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</si>
  <si>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</si>
  <si>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</si>
  <si>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</si>
  <si>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</si>
  <si>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</si>
  <si>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</si>
  <si>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</si>
  <si>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</si>
  <si>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</si>
  <si>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</si>
  <si>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</si>
  <si>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</si>
  <si>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</si>
  <si>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</si>
  <si>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</si>
  <si>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</si>
  <si>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</si>
  <si>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</si>
  <si>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</si>
  <si>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</si>
  <si>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</si>
  <si>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</si>
  <si>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</si>
  <si>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</si>
  <si>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</si>
  <si>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</si>
  <si>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</si>
  <si>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</si>
  <si>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</si>
  <si>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</si>
  <si>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</si>
  <si>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</si>
  <si>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</si>
  <si>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</si>
  <si>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</si>
  <si>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</si>
  <si>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</si>
  <si>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</si>
  <si>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</si>
  <si>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</si>
  <si>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</si>
  <si>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</si>
  <si>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</si>
  <si>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</si>
  <si>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</si>
  <si>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</si>
  <si>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</si>
  <si>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</si>
  <si>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</si>
  <si>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</si>
  <si>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</si>
  <si>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</si>
  <si>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</si>
  <si>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</si>
  <si>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</si>
  <si>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</si>
  <si>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</si>
  <si>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</si>
  <si>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</si>
  <si>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</si>
  <si>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</si>
  <si>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</si>
  <si>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</si>
  <si>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</si>
  <si>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</si>
  <si>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</si>
  <si>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</si>
  <si>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</si>
  <si>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</si>
  <si>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</si>
  <si>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</si>
  <si>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</si>
  <si>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</si>
  <si>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</si>
  <si>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</si>
  <si>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</si>
  <si>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</si>
  <si>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</si>
  <si>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</si>
  <si>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</si>
  <si>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</si>
  <si>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</si>
  <si>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</si>
  <si>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</si>
  <si>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</si>
  <si>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</si>
  <si>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</si>
  <si>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</si>
  <si>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</si>
  <si>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</si>
  <si>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</si>
  <si>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</si>
  <si>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</si>
  <si>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</si>
  <si>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</si>
  <si>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</si>
  <si>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</si>
  <si>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</si>
  <si>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</si>
  <si>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</si>
  <si>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</si>
  <si>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</si>
  <si>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</si>
  <si>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</si>
  <si>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</si>
  <si>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</si>
  <si>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</si>
  <si>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</si>
  <si>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</si>
  <si>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</si>
  <si>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</si>
  <si>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</si>
  <si>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</si>
  <si>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</si>
  <si>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</si>
  <si>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</si>
  <si>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</si>
  <si>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</si>
  <si>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</si>
  <si>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</si>
  <si>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</si>
  <si>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</si>
  <si>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</si>
  <si>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</si>
  <si>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</si>
  <si>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</si>
  <si>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</si>
  <si>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</si>
  <si>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</si>
  <si>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</si>
  <si>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</si>
  <si>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</si>
  <si>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</si>
  <si>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</si>
  <si>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</si>
  <si>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</si>
  <si>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</si>
  <si>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</si>
  <si>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</si>
  <si>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</si>
  <si>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</si>
  <si>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</si>
  <si>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</si>
  <si>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</si>
  <si>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</si>
  <si>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</si>
  <si>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</si>
  <si>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</si>
  <si>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</si>
  <si>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</si>
  <si>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</si>
  <si>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</si>
  <si>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</si>
  <si>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</si>
  <si>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</si>
  <si>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</si>
  <si>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</si>
  <si>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</si>
  <si>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</si>
  <si>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</si>
  <si>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</si>
  <si>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</si>
  <si>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</si>
  <si>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</si>
  <si>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</si>
  <si>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</si>
  <si>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</si>
  <si>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</si>
  <si>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</si>
  <si>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</si>
  <si>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</si>
  <si>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</si>
  <si>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</si>
  <si>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</si>
  <si>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</si>
  <si>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</si>
  <si>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</si>
  <si>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</si>
  <si>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</si>
  <si>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</si>
  <si>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</si>
  <si>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</si>
  <si>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</si>
  <si>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</si>
  <si>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</si>
  <si>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</si>
  <si>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</si>
  <si>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</si>
  <si>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</si>
  <si>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</si>
  <si>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</si>
  <si>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</si>
  <si>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</si>
  <si>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</si>
  <si>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</si>
  <si>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</si>
  <si>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</si>
  <si>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</si>
  <si>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</si>
  <si>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</si>
  <si>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</si>
  <si>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</si>
  <si>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</si>
  <si>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</si>
  <si>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</si>
  <si>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</si>
  <si>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</si>
  <si>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</si>
  <si>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</si>
  <si>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</si>
  <si>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</si>
  <si>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</si>
  <si>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</si>
  <si>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</si>
  <si>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</si>
  <si>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</si>
  <si>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</si>
  <si>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</si>
  <si>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</si>
  <si>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</si>
  <si>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</si>
  <si>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</si>
  <si>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</si>
  <si>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</si>
  <si>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</si>
  <si>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</si>
  <si>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</si>
  <si>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</si>
  <si>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</si>
  <si>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</si>
  <si>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</si>
  <si>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</si>
  <si>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</si>
  <si>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</si>
  <si>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</si>
  <si>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</si>
  <si>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</si>
  <si>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</si>
  <si>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</si>
  <si>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</si>
  <si>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</si>
  <si>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</si>
  <si>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</si>
  <si>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</si>
  <si>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</si>
  <si>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</si>
  <si>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</si>
  <si>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</si>
  <si>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</si>
  <si>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</si>
  <si>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</si>
  <si>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</si>
  <si>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</si>
  <si>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</si>
  <si>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</si>
  <si>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</si>
  <si>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</si>
  <si>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</si>
  <si>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</si>
  <si>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</si>
  <si>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</si>
  <si>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</si>
  <si>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</si>
  <si>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</si>
  <si>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</si>
  <si>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</si>
  <si>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</si>
  <si>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</si>
  <si>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</si>
  <si>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</si>
  <si>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</si>
  <si>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</si>
  <si>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</si>
  <si>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</si>
  <si>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</si>
  <si>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</si>
  <si>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</si>
  <si>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</si>
  <si>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</si>
  <si>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</si>
  <si>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</si>
  <si>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</si>
  <si>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</si>
  <si>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</si>
  <si>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</si>
  <si>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</si>
  <si>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</si>
  <si>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</si>
  <si>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</si>
  <si>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</si>
  <si>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</si>
  <si>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</si>
  <si>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</si>
  <si>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</si>
  <si>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</si>
  <si>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</si>
  <si>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</si>
  <si>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</si>
  <si>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</si>
  <si>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</si>
  <si>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</si>
  <si>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</si>
  <si>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</si>
  <si>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</si>
  <si>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</si>
  <si>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</si>
  <si>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</si>
  <si>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</si>
  <si>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</si>
  <si>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</si>
  <si>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</si>
  <si>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</si>
  <si>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</si>
  <si>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</si>
  <si>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</si>
  <si>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</si>
  <si>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</si>
  <si>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</si>
  <si>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</si>
  <si>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</si>
  <si>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</si>
  <si>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</si>
  <si>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</si>
  <si>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</si>
  <si>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</si>
  <si>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</si>
  <si>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</si>
  <si>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</si>
  <si>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</si>
  <si>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</si>
  <si>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</si>
  <si>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</si>
  <si>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</si>
  <si>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</si>
  <si>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</si>
  <si>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</si>
  <si>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</si>
  <si>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</si>
  <si>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</si>
  <si>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</si>
  <si>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</si>
  <si>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</si>
  <si>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</si>
  <si>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</si>
  <si>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</si>
  <si>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</si>
  <si>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</si>
  <si>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</si>
  <si>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</si>
  <si>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</si>
  <si>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</si>
  <si>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</si>
  <si>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</si>
  <si>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</si>
  <si>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</si>
  <si>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</si>
  <si>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</si>
  <si>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</si>
  <si>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</si>
  <si>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</si>
  <si>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</si>
  <si>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</si>
  <si>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</si>
  <si>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</si>
  <si>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</si>
  <si>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</si>
  <si>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</si>
  <si>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</si>
  <si>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</si>
  <si>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</si>
  <si>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</si>
  <si>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</si>
  <si>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</si>
  <si>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</si>
  <si>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</si>
  <si>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</si>
  <si>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</si>
  <si>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</si>
  <si>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</si>
  <si>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</si>
  <si>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</si>
  <si>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</si>
  <si>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</si>
  <si>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</si>
  <si>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</si>
  <si>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</si>
  <si>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</si>
  <si>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</si>
  <si>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</si>
  <si>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</si>
  <si>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</si>
  <si>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</si>
  <si>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</si>
  <si>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</si>
  <si>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</si>
  <si>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</si>
  <si>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</si>
  <si>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</si>
  <si>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</si>
  <si>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</si>
  <si>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</si>
  <si>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</si>
  <si>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</si>
  <si>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</si>
  <si>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</si>
  <si>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</si>
  <si>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</si>
  <si>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</si>
  <si>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</si>
  <si>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</si>
  <si>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</si>
  <si>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</si>
  <si>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</si>
  <si>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</si>
  <si>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</si>
  <si>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</si>
  <si>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</si>
  <si>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</si>
  <si>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</si>
  <si>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</si>
  <si>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</si>
  <si>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</si>
  <si>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</si>
  <si>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</si>
  <si>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</si>
  <si>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</si>
  <si>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</si>
  <si>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</si>
  <si>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</si>
  <si>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</si>
  <si>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</si>
  <si>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</si>
  <si>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</si>
  <si>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</si>
  <si>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</si>
  <si>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</si>
  <si>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</si>
  <si>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</si>
  <si>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</si>
  <si>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</si>
  <si>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</si>
  <si>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</si>
  <si>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</si>
  <si>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</si>
  <si>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</si>
  <si>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</si>
  <si>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</si>
  <si>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</si>
  <si>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</si>
  <si>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</si>
  <si>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</si>
  <si>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</si>
  <si>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</si>
  <si>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</si>
  <si>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</si>
  <si>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</si>
  <si>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</si>
  <si>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</si>
  <si>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</si>
  <si>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</si>
  <si>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</si>
  <si>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</si>
  <si>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</si>
  <si>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</si>
  <si>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</si>
  <si>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</si>
  <si>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</si>
  <si>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</si>
  <si>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</si>
  <si>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</si>
  <si>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</si>
  <si>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</si>
  <si>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</si>
  <si>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</si>
  <si>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</si>
  <si>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</si>
  <si>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</si>
  <si>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</si>
  <si>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</si>
  <si>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</si>
  <si>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</si>
  <si>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</si>
  <si>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</si>
  <si>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</si>
  <si>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</si>
  <si>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</si>
  <si>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</si>
  <si>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</si>
  <si>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</si>
  <si>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</si>
  <si>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</si>
  <si>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</si>
  <si>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</si>
  <si>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</si>
  <si>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</si>
  <si>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</si>
  <si>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</si>
  <si>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</si>
  <si>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</si>
  <si>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</si>
  <si>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</si>
  <si>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</si>
  <si>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</si>
  <si>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</si>
  <si>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</si>
  <si>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</si>
  <si>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</si>
  <si>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</si>
  <si>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</si>
  <si>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</si>
  <si>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</si>
  <si>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</si>
  <si>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</si>
  <si>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</si>
  <si>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</si>
  <si>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</si>
  <si>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</si>
  <si>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</si>
  <si>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</si>
  <si>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</si>
  <si>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</si>
  <si>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</si>
  <si>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</si>
  <si>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</si>
  <si>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</si>
  <si>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</si>
  <si>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</si>
  <si>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</si>
  <si>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</si>
  <si>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</si>
  <si>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</si>
  <si>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</si>
  <si>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</si>
  <si>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</si>
  <si>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</si>
  <si>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</si>
  <si>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</si>
  <si>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</si>
  <si>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</si>
  <si>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</si>
  <si>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</si>
  <si>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</si>
  <si>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</si>
  <si>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</si>
  <si>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</si>
  <si>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</si>
  <si>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</si>
  <si>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</si>
  <si>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</si>
  <si>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</si>
  <si>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</si>
  <si>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</si>
  <si>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</si>
  <si>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</si>
  <si>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</si>
  <si>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</si>
  <si>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</si>
  <si>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</si>
  <si>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</si>
  <si>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</si>
  <si>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</si>
  <si>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</si>
  <si>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</si>
  <si>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</si>
  <si>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</si>
  <si>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</si>
  <si>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</si>
  <si>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</si>
  <si>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</si>
  <si>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</si>
  <si>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</si>
  <si>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</si>
  <si>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</si>
  <si>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</si>
  <si>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</si>
  <si>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</si>
  <si>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</si>
  <si>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</si>
  <si>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</si>
  <si>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</si>
  <si>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</si>
  <si>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</si>
  <si>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</si>
  <si>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</si>
  <si>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</si>
  <si>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</si>
  <si>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</si>
  <si>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</si>
  <si>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</si>
  <si>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</si>
  <si>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</si>
  <si>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</si>
  <si>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</si>
  <si>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</si>
  <si>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</si>
  <si>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</si>
  <si>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</si>
  <si>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</si>
  <si>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</si>
  <si>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</si>
  <si>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</si>
  <si>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</si>
  <si>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</si>
  <si>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</si>
  <si>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</si>
  <si>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</si>
  <si>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</si>
  <si>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</si>
  <si>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</si>
  <si>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</si>
  <si>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</si>
  <si>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</si>
  <si>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</si>
  <si>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</si>
  <si>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</si>
  <si>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</si>
  <si>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</si>
  <si>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</si>
  <si>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</si>
  <si>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</si>
  <si>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</si>
  <si>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</si>
  <si>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</si>
  <si>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</si>
  <si>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</si>
  <si>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</si>
  <si>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</si>
  <si>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</si>
  <si>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</si>
  <si>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</si>
  <si>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</si>
  <si>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</si>
  <si>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</si>
  <si>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</si>
  <si>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</si>
  <si>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</si>
  <si>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</si>
  <si>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</si>
  <si>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</si>
  <si>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</si>
  <si>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</si>
  <si>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</si>
  <si>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</si>
  <si>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</si>
  <si>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</si>
  <si>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</si>
  <si>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</si>
  <si>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</si>
  <si>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</si>
  <si>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</si>
  <si>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</si>
  <si>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</si>
  <si>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</si>
  <si>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</si>
  <si>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</si>
  <si>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</si>
  <si>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</si>
  <si>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</si>
  <si>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</si>
  <si>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</si>
  <si>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</si>
  <si>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</si>
  <si>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</si>
  <si>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</si>
  <si>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</si>
  <si>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</si>
  <si>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</si>
  <si>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</si>
  <si>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</si>
  <si>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</si>
  <si>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</si>
  <si>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</si>
  <si>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</si>
  <si>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</si>
  <si>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</si>
  <si>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</si>
  <si>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</si>
  <si>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</si>
  <si>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</si>
  <si>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</si>
  <si>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</si>
  <si>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</si>
  <si>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</si>
  <si>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</si>
  <si>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</si>
  <si>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</si>
  <si>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</si>
  <si>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</si>
  <si>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</si>
  <si>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</si>
  <si>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</si>
  <si>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</si>
  <si>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</si>
  <si>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</si>
  <si>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</si>
  <si>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</si>
  <si>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</si>
  <si>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</si>
  <si>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</si>
  <si>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</si>
  <si>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</si>
  <si>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</si>
  <si>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</si>
  <si>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</si>
  <si>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</si>
  <si>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</si>
  <si>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</si>
  <si>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</si>
  <si>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</si>
  <si>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</si>
  <si>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</si>
  <si>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</si>
  <si>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</si>
  <si>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</si>
  <si>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</si>
  <si>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</si>
  <si>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</si>
  <si>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</si>
  <si>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</si>
  <si>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</si>
  <si>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</si>
  <si>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</si>
  <si>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</si>
  <si>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</si>
  <si>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</si>
  <si>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</si>
  <si>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</si>
  <si>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</si>
  <si>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</si>
  <si>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</si>
  <si>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</si>
  <si>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</si>
  <si>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</si>
  <si>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</si>
  <si>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</si>
  <si>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</si>
  <si>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</si>
  <si>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</si>
  <si>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</si>
  <si>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</si>
  <si>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</si>
  <si>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</si>
  <si>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</si>
  <si>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</si>
  <si>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</si>
  <si>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</si>
  <si>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</si>
  <si>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</si>
  <si>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</si>
  <si>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</si>
  <si>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</si>
  <si>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</si>
  <si>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</si>
  <si>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</si>
  <si>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</si>
  <si>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</si>
  <si>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</si>
  <si>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</si>
  <si>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</si>
  <si>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</si>
  <si>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</si>
  <si>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</si>
  <si>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</si>
  <si>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</si>
  <si>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</si>
  <si>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</si>
  <si>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</si>
  <si>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</si>
  <si>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</si>
  <si>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</si>
  <si>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</si>
  <si>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</si>
  <si>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</si>
  <si>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</si>
  <si>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</si>
  <si>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</si>
  <si>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</si>
  <si>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</si>
  <si>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</si>
  <si>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</si>
  <si>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</si>
  <si>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</si>
  <si>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</si>
  <si>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</si>
  <si>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</si>
  <si>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</si>
  <si>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</si>
  <si>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</si>
  <si>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</si>
  <si>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</si>
  <si>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</si>
  <si>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</si>
  <si>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</si>
  <si>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</si>
  <si>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</si>
  <si>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</si>
  <si>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</si>
  <si>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</si>
  <si>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</si>
  <si>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</si>
  <si>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</si>
  <si>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</si>
  <si>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</si>
  <si>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</si>
  <si>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</si>
  <si>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</si>
  <si>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</si>
  <si>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</si>
  <si>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</si>
  <si>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</si>
  <si>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</si>
  <si>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</si>
  <si>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</si>
  <si>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</si>
  <si>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</si>
  <si>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</si>
  <si>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</si>
  <si>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</si>
  <si>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</si>
  <si>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</si>
  <si>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</si>
  <si>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</si>
  <si>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</si>
  <si>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</si>
  <si>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</si>
  <si>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</si>
  <si>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</si>
  <si>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</si>
  <si>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</si>
  <si>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</si>
  <si>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</si>
  <si>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</si>
  <si>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</si>
  <si>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</si>
  <si>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</si>
  <si>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</si>
  <si>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</si>
  <si>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</si>
  <si>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</si>
  <si>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</si>
  <si>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</si>
  <si>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</si>
  <si>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</si>
  <si>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</si>
  <si>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</si>
  <si>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</si>
  <si>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</si>
  <si>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</si>
  <si>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</si>
  <si>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</si>
  <si>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</si>
  <si>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</si>
  <si>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</si>
  <si>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</si>
  <si>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</si>
  <si>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</si>
  <si>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</si>
  <si>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</si>
  <si>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</si>
  <si>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</si>
  <si>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</si>
  <si>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</si>
  <si>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</si>
  <si>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</si>
  <si>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</si>
  <si>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</si>
  <si>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</si>
  <si>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</si>
  <si>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</si>
  <si>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</si>
  <si>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</si>
  <si>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</si>
  <si>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</si>
  <si>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</si>
  <si>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</si>
  <si>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</si>
  <si>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</si>
  <si>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</si>
  <si>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</si>
  <si>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</si>
  <si>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</si>
  <si>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</si>
  <si>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</si>
  <si>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</si>
  <si>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</si>
  <si>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</si>
  <si>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</si>
  <si>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</si>
  <si>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</si>
  <si>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</si>
  <si>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</si>
  <si>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</si>
  <si>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</si>
  <si>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</si>
  <si>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</si>
  <si>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</si>
  <si>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</si>
  <si>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</si>
  <si>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</si>
  <si>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</si>
  <si>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</si>
  <si>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</si>
  <si>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</si>
  <si>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</si>
  <si>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</si>
  <si>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</si>
  <si>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</si>
  <si>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</si>
  <si>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</si>
  <si>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</si>
  <si>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</si>
  <si>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</si>
  <si>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</si>
  <si>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</si>
  <si>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</si>
  <si>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</si>
  <si>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</si>
  <si>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</si>
  <si>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</si>
  <si>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</si>
  <si>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</si>
  <si>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</si>
  <si>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</si>
  <si>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</si>
  <si>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</si>
  <si>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</si>
  <si>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</si>
  <si>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</si>
  <si>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</si>
  <si>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</si>
  <si>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</si>
  <si>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</si>
  <si>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</si>
  <si>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</si>
  <si>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</si>
  <si>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</si>
  <si>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</si>
  <si>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</si>
  <si>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</si>
  <si>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</si>
  <si>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</si>
  <si>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</si>
  <si>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</si>
  <si>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</si>
  <si>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</si>
  <si>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</si>
  <si>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</si>
  <si>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</si>
  <si>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</si>
  <si>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</si>
  <si>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</si>
  <si>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</si>
  <si>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</si>
  <si>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</si>
  <si>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</si>
  <si>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</si>
  <si>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</si>
  <si>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</si>
  <si>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</si>
  <si>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</si>
  <si>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</si>
  <si>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</si>
  <si>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</si>
  <si>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</si>
  <si>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</si>
  <si>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</si>
  <si>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</si>
  <si>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</si>
  <si>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</si>
  <si>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</si>
  <si>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</si>
  <si>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</si>
  <si>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</si>
  <si>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</si>
  <si>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</si>
  <si>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</si>
  <si>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</si>
  <si>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</si>
  <si>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</si>
  <si>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</si>
  <si>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</si>
  <si>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</si>
  <si>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</si>
  <si>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</si>
  <si>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</si>
  <si>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</si>
  <si>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</si>
  <si>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</si>
  <si>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</si>
  <si>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</si>
  <si>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</si>
  <si>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</si>
  <si>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</si>
  <si>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</si>
  <si>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</si>
  <si>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</si>
  <si>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</si>
  <si>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</si>
  <si>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</si>
  <si>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</si>
  <si>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</si>
  <si>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</si>
  <si>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</si>
  <si>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</si>
  <si>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</si>
  <si>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</si>
  <si>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</si>
  <si>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</si>
  <si>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</si>
  <si>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</si>
  <si>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</si>
  <si>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</si>
  <si>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</si>
  <si>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</si>
  <si>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</si>
  <si>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</si>
  <si>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</si>
  <si>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</si>
  <si>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</si>
  <si>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</si>
  <si>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</si>
  <si>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</si>
  <si>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</si>
  <si>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</si>
  <si>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</si>
  <si>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</si>
  <si>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</si>
  <si>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</si>
  <si>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</si>
  <si>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</si>
  <si>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</si>
  <si>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</si>
  <si>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</si>
  <si>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</si>
  <si>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</si>
  <si>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</si>
  <si>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</si>
  <si>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</si>
  <si>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</si>
  <si>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</si>
  <si>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</si>
  <si>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</si>
  <si>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</si>
  <si>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</si>
  <si>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</si>
  <si>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</si>
  <si>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</si>
  <si>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</si>
  <si>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</si>
  <si>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</si>
  <si>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</si>
  <si>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</si>
  <si>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</si>
  <si>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</si>
  <si>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</si>
  <si>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</si>
  <si>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</si>
  <si>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</si>
  <si>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</si>
  <si>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</si>
  <si>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</si>
  <si>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</si>
  <si>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</si>
  <si>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</si>
  <si>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</si>
  <si>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</si>
  <si>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</si>
  <si>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</si>
  <si>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</si>
  <si>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</si>
  <si>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</si>
  <si>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</si>
  <si>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</si>
  <si>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</si>
  <si>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</si>
  <si>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</si>
  <si>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</si>
  <si>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</si>
  <si>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</si>
  <si>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</si>
  <si>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</si>
  <si>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</si>
  <si>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</si>
  <si>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</si>
  <si>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</si>
  <si>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</si>
  <si>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</si>
  <si>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</si>
  <si>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</si>
  <si>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</si>
  <si>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</si>
  <si>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</si>
  <si>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</si>
  <si>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</si>
  <si>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</si>
  <si>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</si>
  <si>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</si>
  <si>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</si>
  <si>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</si>
  <si>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</si>
  <si>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</si>
  <si>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</si>
  <si>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</si>
  <si>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</si>
  <si>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</si>
  <si>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</si>
  <si>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</si>
  <si>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</si>
  <si>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</si>
  <si>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</si>
  <si>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</si>
  <si>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</si>
  <si>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</si>
  <si>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</si>
  <si>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</si>
  <si>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</si>
  <si>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</si>
  <si>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</si>
  <si>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</si>
  <si>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</si>
  <si>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</si>
  <si>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</si>
  <si>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</si>
  <si>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</si>
  <si>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</si>
  <si>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</si>
  <si>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</si>
  <si>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</si>
  <si>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</si>
  <si>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</si>
  <si>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</si>
  <si>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</si>
  <si>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</si>
  <si>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</si>
  <si>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</si>
  <si>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</si>
  <si>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</si>
  <si>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</si>
  <si>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</si>
  <si>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</si>
  <si>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</si>
  <si>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</si>
  <si>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</si>
  <si>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</si>
  <si>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</si>
  <si>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</si>
  <si>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</si>
  <si>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</si>
  <si>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</si>
  <si>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</si>
  <si>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</si>
  <si>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</si>
  <si>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</si>
  <si>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</si>
  <si>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</si>
  <si>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</si>
  <si>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</si>
  <si>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</si>
  <si>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</si>
  <si>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</si>
  <si>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</si>
  <si>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</si>
  <si>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</si>
  <si>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</si>
  <si>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</si>
  <si>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</si>
  <si>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</si>
  <si>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</si>
  <si>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</si>
  <si>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</si>
  <si>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</si>
  <si>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</si>
  <si>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</si>
  <si>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</si>
  <si>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</si>
  <si>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</si>
  <si>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</si>
  <si>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</si>
  <si>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</si>
  <si>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</si>
  <si>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</si>
  <si>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</si>
  <si>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</si>
  <si>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</si>
  <si>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</si>
  <si>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</si>
  <si>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</si>
  <si>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</si>
  <si>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</si>
  <si>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</si>
  <si>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</si>
  <si>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</si>
  <si>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</si>
  <si>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</si>
  <si>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</si>
  <si>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</si>
  <si>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</si>
  <si>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</si>
  <si>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</si>
  <si>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</si>
  <si>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</si>
  <si>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</si>
  <si>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</si>
  <si>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</si>
  <si>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</si>
  <si>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</si>
  <si>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</si>
  <si>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</si>
  <si>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</si>
  <si>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</si>
  <si>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</si>
  <si>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</si>
  <si>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</si>
  <si>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</si>
  <si>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</si>
  <si>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</si>
  <si>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</si>
  <si>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</si>
  <si>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</si>
  <si>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</si>
  <si>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</si>
  <si>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</si>
  <si>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</si>
  <si>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</si>
  <si>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</si>
  <si>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</si>
  <si>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</si>
  <si>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</si>
  <si>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</si>
  <si>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</si>
  <si>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</si>
  <si>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</si>
  <si>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</si>
  <si>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</si>
  <si>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</si>
  <si>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</si>
  <si>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</si>
  <si>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</si>
  <si>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</si>
  <si>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</si>
  <si>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</si>
  <si>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</si>
  <si>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</si>
  <si>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</si>
  <si>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</si>
  <si>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</si>
  <si>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</si>
  <si>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</si>
  <si>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</si>
  <si>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</si>
  <si>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</si>
  <si>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</si>
  <si>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</si>
  <si>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</si>
  <si>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</si>
  <si>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</si>
  <si>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</si>
  <si>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</si>
  <si>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</si>
  <si>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</si>
  <si>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</si>
  <si>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</si>
  <si>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</si>
  <si>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</si>
  <si>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</si>
  <si>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</si>
  <si>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</si>
  <si>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</si>
  <si>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</si>
  <si>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</si>
  <si>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</si>
  <si>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</si>
  <si>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</si>
  <si>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</si>
  <si>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</si>
  <si>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</si>
  <si>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</si>
  <si>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</si>
  <si>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</si>
  <si>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</si>
  <si>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</si>
  <si>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</si>
  <si>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</si>
  <si>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</si>
  <si>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</si>
  <si>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</si>
  <si>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</si>
  <si>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</si>
  <si>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</si>
  <si>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</si>
  <si>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</si>
  <si>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</si>
  <si>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</si>
  <si>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</si>
  <si>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</si>
  <si>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</si>
  <si>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</si>
  <si>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</si>
  <si>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</si>
  <si>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</si>
  <si>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</si>
  <si>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</si>
  <si>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</si>
  <si>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</si>
  <si>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</si>
  <si>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</si>
  <si>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</si>
  <si>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</si>
  <si>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</si>
  <si>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</si>
  <si>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</si>
  <si>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</si>
  <si>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</si>
  <si>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</si>
  <si>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</si>
  <si>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</si>
  <si>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</si>
  <si>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</si>
  <si>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</si>
  <si>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</si>
  <si>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</si>
  <si>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</si>
  <si>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</si>
  <si>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</si>
  <si>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</si>
  <si>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</si>
  <si>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</si>
  <si>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</si>
  <si>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</si>
  <si>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</si>
  <si>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</si>
  <si>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</si>
  <si>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</si>
  <si>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</si>
  <si>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</si>
  <si>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</si>
  <si>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</si>
  <si>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</si>
  <si>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</si>
  <si>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</si>
  <si>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</si>
  <si>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</si>
  <si>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</si>
  <si>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</si>
  <si>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</si>
  <si>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</si>
  <si>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</si>
  <si>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</si>
  <si>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</si>
  <si>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</si>
  <si>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</si>
  <si>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</si>
  <si>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</si>
  <si>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</si>
  <si>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</si>
  <si>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</si>
  <si>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</si>
  <si>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</si>
  <si>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</si>
  <si>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</si>
  <si>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</si>
  <si>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</si>
  <si>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</si>
  <si>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</si>
  <si>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</si>
  <si>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</si>
  <si>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</si>
  <si>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</si>
  <si>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</si>
  <si>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</si>
  <si>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</si>
  <si>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</si>
  <si>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</si>
  <si>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</si>
  <si>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</si>
  <si>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</si>
  <si>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</si>
  <si>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</si>
  <si>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</si>
  <si>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</si>
  <si>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</si>
  <si>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</si>
  <si>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</si>
  <si>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</si>
  <si>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</si>
  <si>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</si>
  <si>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</si>
  <si>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</si>
  <si>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</si>
  <si>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</si>
  <si>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</si>
  <si>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</si>
  <si>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</si>
  <si>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</si>
  <si>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</si>
  <si>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</si>
  <si>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</si>
  <si>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</si>
  <si>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</si>
  <si>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</si>
  <si>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</si>
  <si>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</si>
  <si>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</si>
  <si>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</si>
  <si>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</si>
  <si>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</si>
  <si>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</si>
  <si>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</si>
  <si>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</si>
  <si>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</si>
  <si>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</si>
  <si>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</si>
  <si>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</si>
  <si>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</si>
  <si>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</si>
  <si>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</si>
  <si>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</si>
  <si>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</si>
  <si>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</si>
  <si>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</si>
  <si>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</si>
  <si>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</si>
  <si>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</si>
  <si>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</si>
  <si>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</si>
  <si>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</si>
  <si>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</si>
  <si>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</si>
  <si>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</si>
  <si>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</si>
  <si>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</si>
  <si>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</si>
  <si>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</si>
  <si>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</si>
  <si>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</si>
  <si>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</si>
  <si>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</si>
  <si>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</si>
  <si>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</si>
  <si>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</si>
  <si>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</si>
  <si>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</si>
  <si>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</si>
  <si>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</si>
  <si>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</si>
  <si>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</si>
  <si>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</si>
  <si>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</si>
  <si>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</si>
  <si>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</si>
  <si>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</si>
  <si>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</si>
  <si>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</si>
  <si>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</si>
  <si>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</si>
  <si>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</si>
  <si>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</si>
  <si>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</si>
  <si>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</si>
  <si>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</si>
  <si>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</si>
  <si>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</si>
  <si>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</si>
  <si>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</si>
  <si>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</si>
  <si>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</si>
  <si>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</si>
  <si>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</si>
  <si>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</si>
  <si>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</si>
  <si>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</si>
  <si>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</si>
  <si>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</si>
  <si>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</si>
  <si>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</si>
  <si>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</si>
  <si>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</si>
  <si>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</si>
  <si>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</si>
  <si>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</si>
  <si>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</si>
  <si>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</si>
  <si>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</si>
  <si>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</si>
  <si>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</si>
  <si>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</si>
  <si>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</si>
  <si>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</si>
  <si>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</si>
  <si>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</si>
  <si>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</si>
  <si>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</si>
  <si>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</si>
  <si>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</si>
  <si>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</si>
  <si>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</si>
  <si>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</si>
  <si>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</si>
  <si>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</si>
  <si>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</si>
  <si>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</si>
  <si>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</si>
  <si>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</si>
  <si>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</si>
  <si>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</si>
  <si>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</si>
  <si>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</si>
  <si>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</si>
  <si>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</si>
  <si>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</si>
  <si>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</si>
  <si>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</si>
  <si>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</si>
  <si>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</si>
  <si>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</si>
  <si>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</si>
  <si>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</si>
  <si>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</si>
  <si>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</si>
  <si>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</si>
  <si>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</si>
  <si>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</si>
  <si>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</si>
  <si>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</si>
  <si>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</si>
  <si>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</si>
  <si>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</si>
  <si>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</si>
  <si>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</si>
  <si>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</si>
  <si>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</si>
  <si>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</si>
  <si>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</si>
  <si>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</si>
  <si>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</si>
  <si>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</si>
  <si>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</si>
  <si>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</si>
  <si>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</si>
  <si>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</si>
  <si>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</si>
  <si>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</si>
  <si>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</si>
  <si>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</si>
  <si>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</si>
  <si>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</si>
  <si>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</si>
  <si>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</si>
  <si>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</si>
  <si>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</si>
  <si>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</si>
  <si>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</si>
  <si>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</si>
  <si>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</si>
  <si>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</si>
  <si>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</si>
  <si>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</si>
  <si>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</si>
  <si>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</si>
  <si>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</si>
  <si>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</si>
  <si>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</si>
  <si>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</si>
  <si>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</si>
  <si>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</si>
  <si>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</si>
  <si>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</si>
  <si>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</si>
  <si>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</si>
  <si>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</si>
  <si>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</si>
  <si>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</si>
  <si>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</si>
  <si>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</si>
  <si>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</si>
  <si>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</si>
  <si>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</si>
  <si>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</si>
  <si>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</si>
  <si>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</si>
  <si>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</si>
  <si>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</si>
  <si>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</si>
  <si>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</si>
  <si>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</si>
  <si>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</si>
  <si>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</si>
  <si>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</si>
  <si>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</si>
  <si>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</si>
  <si>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</si>
  <si>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</si>
  <si>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</si>
  <si>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</si>
  <si>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</si>
  <si>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</si>
  <si>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</si>
  <si>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</si>
  <si>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</si>
  <si>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</si>
  <si>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</si>
  <si>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</si>
  <si>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</si>
  <si>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</si>
  <si>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</si>
  <si>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</si>
  <si>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</si>
  <si>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</si>
  <si>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</si>
  <si>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</si>
  <si>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</si>
  <si>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</si>
  <si>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</si>
  <si>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</si>
  <si>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</si>
  <si>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</si>
  <si>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</si>
  <si>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</si>
  <si>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</si>
  <si>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</si>
  <si>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</si>
  <si>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</si>
  <si>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</si>
  <si>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</si>
  <si>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</si>
  <si>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</si>
  <si>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</si>
  <si>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</si>
  <si>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</si>
  <si>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</si>
  <si>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</si>
  <si>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</si>
  <si>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</si>
  <si>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</si>
  <si>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</si>
  <si>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</si>
  <si>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</si>
  <si>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</si>
  <si>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</si>
  <si>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</si>
  <si>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</si>
  <si>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</si>
  <si>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</si>
  <si>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</si>
  <si>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</si>
  <si>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</si>
  <si>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</si>
  <si>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</si>
  <si>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</si>
  <si>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</si>
  <si>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</si>
  <si>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</si>
  <si>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</si>
  <si>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</si>
  <si>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</si>
  <si>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</si>
  <si>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</si>
  <si>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</si>
  <si>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</si>
  <si>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</si>
  <si>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</si>
  <si>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</si>
  <si>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</si>
  <si>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</si>
  <si>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</si>
  <si>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</si>
  <si>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</si>
  <si>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</si>
  <si>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</si>
  <si>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</si>
  <si>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</si>
  <si>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</si>
  <si>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</si>
  <si>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</si>
  <si>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</si>
  <si>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</si>
  <si>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</si>
  <si>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</si>
  <si>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</si>
  <si>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</si>
  <si>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</si>
  <si>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</si>
  <si>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</si>
  <si>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</si>
  <si>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</si>
  <si>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</si>
  <si>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</si>
  <si>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</si>
  <si>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</si>
  <si>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</si>
  <si>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</si>
  <si>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</si>
  <si>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</si>
  <si>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</si>
  <si>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</si>
  <si>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</si>
  <si>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</si>
  <si>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</si>
  <si>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</si>
  <si>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</si>
  <si>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</si>
  <si>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</si>
  <si>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</si>
  <si>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</si>
  <si>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</si>
  <si>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</si>
  <si>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</si>
  <si>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</si>
  <si>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</si>
  <si>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</si>
  <si>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</si>
  <si>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</si>
  <si>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</si>
  <si>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</si>
  <si>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</si>
  <si>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</si>
  <si>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</si>
  <si>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</si>
  <si>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</si>
  <si>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</si>
  <si>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</si>
  <si>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</si>
  <si>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</si>
  <si>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</si>
  <si>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</si>
  <si>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</si>
  <si>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</si>
  <si>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</si>
  <si>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</si>
  <si>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</si>
  <si>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</si>
  <si>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</si>
  <si>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</si>
  <si>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</si>
  <si>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</si>
  <si>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</si>
  <si>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</si>
  <si>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</si>
  <si>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</si>
  <si>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</si>
  <si>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</si>
  <si>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</si>
  <si>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</si>
  <si>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</si>
  <si>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</si>
  <si>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</si>
  <si>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</si>
  <si>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</si>
  <si>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</si>
  <si>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</si>
  <si>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</si>
  <si>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</si>
  <si>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</si>
  <si>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</si>
  <si>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</si>
  <si>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</si>
  <si>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</si>
  <si>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</si>
  <si>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</si>
  <si>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</si>
  <si>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</si>
  <si>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</si>
  <si>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</si>
  <si>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</si>
  <si>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</si>
  <si>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</si>
  <si>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</si>
  <si>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</si>
  <si>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</si>
  <si>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</si>
  <si>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</si>
  <si>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</si>
  <si>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</si>
  <si>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</si>
  <si>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</si>
  <si>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</si>
  <si>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</si>
  <si>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</si>
  <si>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</si>
  <si>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</si>
  <si>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</si>
  <si>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</si>
  <si>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</si>
  <si>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</si>
  <si>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</si>
  <si>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</si>
  <si>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</si>
  <si>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</si>
  <si>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</si>
  <si>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</si>
  <si>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</si>
  <si>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</si>
  <si>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</si>
  <si>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</si>
  <si>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</si>
  <si>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</si>
  <si>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</si>
  <si>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</si>
  <si>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</si>
  <si>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</si>
  <si>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</si>
  <si>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</si>
  <si>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</si>
  <si>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</si>
  <si>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</si>
  <si>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</si>
  <si>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</si>
  <si>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</si>
  <si>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</si>
  <si>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</si>
  <si>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</si>
  <si>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</si>
  <si>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</si>
  <si>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</si>
  <si>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</si>
  <si>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</si>
  <si>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</si>
  <si>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</si>
  <si>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</si>
  <si>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</si>
  <si>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</si>
  <si>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</si>
  <si>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</si>
  <si>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</si>
  <si>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</si>
  <si>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</si>
  <si>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</si>
  <si>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</si>
  <si>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</si>
  <si>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</si>
  <si>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</si>
  <si>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</si>
  <si>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</si>
  <si>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</si>
  <si>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</si>
  <si>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</si>
  <si>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</si>
  <si>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</si>
  <si>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</si>
  <si>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</si>
  <si>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</si>
  <si>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</si>
  <si>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</si>
  <si>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</si>
  <si>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</si>
  <si>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</si>
  <si>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</si>
  <si>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</si>
  <si>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</si>
  <si>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</si>
  <si>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</si>
  <si>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</si>
  <si>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</si>
  <si>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</si>
  <si>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</si>
  <si>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</si>
  <si>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</si>
  <si>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</si>
  <si>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</si>
  <si>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</si>
  <si>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</si>
  <si>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</si>
  <si>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</si>
  <si>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</si>
  <si>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</si>
  <si>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</si>
  <si>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</si>
  <si>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</si>
  <si>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</si>
  <si>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</si>
  <si>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</si>
  <si>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</si>
  <si>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</si>
  <si>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</si>
  <si>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</si>
  <si>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</si>
  <si>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</si>
  <si>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</si>
  <si>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</si>
  <si>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</si>
  <si>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</si>
  <si>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</si>
  <si>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</si>
  <si>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</si>
  <si>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</si>
  <si>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</si>
  <si>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</si>
  <si>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</si>
  <si>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</si>
  <si>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</si>
  <si>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</si>
  <si>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</si>
  <si>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</si>
  <si>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</si>
  <si>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</si>
  <si>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</si>
  <si>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</si>
  <si>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</si>
  <si>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</si>
  <si>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</si>
  <si>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</si>
  <si>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</si>
  <si>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</si>
  <si>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</si>
  <si>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</si>
  <si>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</si>
  <si>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</si>
  <si>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</si>
  <si>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</si>
  <si>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</si>
  <si>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</si>
  <si>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</si>
  <si>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</si>
  <si>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</si>
  <si>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</si>
  <si>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</si>
  <si>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</si>
  <si>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</si>
  <si>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</si>
  <si>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</si>
  <si>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</si>
  <si>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</si>
  <si>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</si>
  <si>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</si>
  <si>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</si>
  <si>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</si>
  <si>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</si>
  <si>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</si>
  <si>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</si>
  <si>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</si>
  <si>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</si>
  <si>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</si>
  <si>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</si>
  <si>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</si>
  <si>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</si>
  <si>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</si>
  <si>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</si>
  <si>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</si>
  <si>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</si>
  <si>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</si>
  <si>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</si>
  <si>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</si>
  <si>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</si>
  <si>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</si>
  <si>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</si>
  <si>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</si>
  <si>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</si>
  <si>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</si>
  <si>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</si>
  <si>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</si>
  <si>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</si>
  <si>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</si>
  <si>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</si>
  <si>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</si>
  <si>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</si>
  <si>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</si>
  <si>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</si>
  <si>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</si>
  <si>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</si>
  <si>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</si>
  <si>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</si>
  <si>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</si>
  <si>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</si>
  <si>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</si>
  <si>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</si>
  <si>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</si>
  <si>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</si>
  <si>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</si>
  <si>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</si>
  <si>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</si>
  <si>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</si>
  <si>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</si>
  <si>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</si>
  <si>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</si>
  <si>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</si>
  <si>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</si>
  <si>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</si>
  <si>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</si>
  <si>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</si>
  <si>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</si>
  <si>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</si>
  <si>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</si>
  <si>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</si>
  <si>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</si>
  <si>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</si>
  <si>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</si>
  <si>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</si>
  <si>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</si>
  <si>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</si>
  <si>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</si>
  <si>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</si>
  <si>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</si>
  <si>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</si>
  <si>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</si>
  <si>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</si>
  <si>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</si>
  <si>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</si>
  <si>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</si>
  <si>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</si>
  <si>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</si>
  <si>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</si>
  <si>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</si>
  <si>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</si>
  <si>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</si>
  <si>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</si>
  <si>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</si>
  <si>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</si>
  <si>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</si>
  <si>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</si>
  <si>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</si>
  <si>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</si>
  <si>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</si>
  <si>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</si>
  <si>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</si>
  <si>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</si>
  <si>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</si>
  <si>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</si>
  <si>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</si>
  <si>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</si>
  <si>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</si>
  <si>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</si>
  <si>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</si>
  <si>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</si>
  <si>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</si>
  <si>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</si>
  <si>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</si>
  <si>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</si>
  <si>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</si>
  <si>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</si>
  <si>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</si>
  <si>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</si>
  <si>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</si>
  <si>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</si>
  <si>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</si>
  <si>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</si>
  <si>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</si>
  <si>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</si>
  <si>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</si>
  <si>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</si>
  <si>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</si>
  <si>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</si>
  <si>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</si>
  <si>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</si>
  <si>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</si>
  <si>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</si>
  <si>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</si>
  <si>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</si>
  <si>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</si>
  <si>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</si>
  <si>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</si>
  <si>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</si>
  <si>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</si>
  <si>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</si>
  <si>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</si>
  <si>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</si>
  <si>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</si>
  <si>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</si>
  <si>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</si>
  <si>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</si>
  <si>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</si>
  <si>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</si>
  <si>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</si>
  <si>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</si>
  <si>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</si>
  <si>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</si>
  <si>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</si>
  <si>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</si>
  <si>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</si>
  <si>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</si>
  <si>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</si>
  <si>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</si>
  <si>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</si>
  <si>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</si>
  <si>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</si>
  <si>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</si>
  <si>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</si>
  <si>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</si>
  <si>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</si>
  <si>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</si>
  <si>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</si>
  <si>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</si>
  <si>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</si>
  <si>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</si>
  <si>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</si>
  <si>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</si>
  <si>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</si>
  <si>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</si>
  <si>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</si>
  <si>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</si>
  <si>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</si>
  <si>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</si>
  <si>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</si>
  <si>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</si>
  <si>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</si>
  <si>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</si>
  <si>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</si>
  <si>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</si>
  <si>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</si>
  <si>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</si>
  <si>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</si>
  <si>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</si>
  <si>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</si>
  <si>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</si>
  <si>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</si>
  <si>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</si>
  <si>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</si>
  <si>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</si>
  <si>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</si>
  <si>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</si>
  <si>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</si>
  <si>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</si>
  <si>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</si>
  <si>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</si>
  <si>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</si>
  <si>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</si>
  <si>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</si>
  <si>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</si>
  <si>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</si>
  <si>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</si>
  <si>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</si>
  <si>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</si>
  <si>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</si>
  <si>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</si>
  <si>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</si>
  <si>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</si>
  <si>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</si>
  <si>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</si>
  <si>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</si>
  <si>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</si>
  <si>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</si>
  <si>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</si>
  <si>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</si>
  <si>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</si>
  <si>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</si>
  <si>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</si>
  <si>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</si>
  <si>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</si>
  <si>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</si>
  <si>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</si>
  <si>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</si>
  <si>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</si>
  <si>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</si>
  <si>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</si>
  <si>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</si>
  <si>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</si>
  <si>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</si>
  <si>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</si>
  <si>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</si>
  <si>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</si>
  <si>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</si>
  <si>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</si>
  <si>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</si>
  <si>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</si>
  <si>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</si>
  <si>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</si>
  <si>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</si>
  <si>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</si>
  <si>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</si>
  <si>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</si>
  <si>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</si>
  <si>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</si>
  <si>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</si>
  <si>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</si>
  <si>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</si>
  <si>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</si>
  <si>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</si>
  <si>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</si>
  <si>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</si>
  <si>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</si>
  <si>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</si>
  <si>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</si>
  <si>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</si>
  <si>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</si>
  <si>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</si>
  <si>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</si>
  <si>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</si>
  <si>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</si>
  <si>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</si>
  <si>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</si>
  <si>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</si>
  <si>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</si>
  <si>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</si>
  <si>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</si>
  <si>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</si>
  <si>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</si>
  <si>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</si>
  <si>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</si>
  <si>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</si>
  <si>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</si>
  <si>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</si>
  <si>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</si>
  <si>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</si>
  <si>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</si>
  <si>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</si>
  <si>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</si>
  <si>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</si>
  <si>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</si>
  <si>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</si>
  <si>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</si>
  <si>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</si>
  <si>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</si>
  <si>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</si>
  <si>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</si>
  <si>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</si>
  <si>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</si>
  <si>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</si>
  <si>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</si>
  <si>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</si>
  <si>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</si>
  <si>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</si>
  <si>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</si>
  <si>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</si>
  <si>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</si>
  <si>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</si>
  <si>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</si>
  <si>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</si>
  <si>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</si>
  <si>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</si>
  <si>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</si>
  <si>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</si>
  <si>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</si>
  <si>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</si>
  <si>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</si>
  <si>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</si>
  <si>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</si>
  <si>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</si>
  <si>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</si>
  <si>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</si>
  <si>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</si>
  <si>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</si>
  <si>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</si>
  <si>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</si>
  <si>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</si>
  <si>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</si>
  <si>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</si>
  <si>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</si>
  <si>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</si>
  <si>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</si>
  <si>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</si>
  <si>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</si>
  <si>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</si>
  <si>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</si>
  <si>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</si>
  <si>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</si>
  <si>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</si>
  <si>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</si>
  <si>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</si>
  <si>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</si>
  <si>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</si>
  <si>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</si>
  <si>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</si>
  <si>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</si>
  <si>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</si>
  <si>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</si>
  <si>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</si>
  <si>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</si>
  <si>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</si>
  <si>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</si>
  <si>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</si>
  <si>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</si>
  <si>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</si>
  <si>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</si>
  <si>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</si>
  <si>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</si>
  <si>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</si>
  <si>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</si>
  <si>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</si>
  <si>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</si>
  <si>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</si>
  <si>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</si>
  <si>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</si>
  <si>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</si>
  <si>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</si>
  <si>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</si>
  <si>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</si>
  <si>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</si>
  <si>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</si>
  <si>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</si>
  <si>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</si>
  <si>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</si>
  <si>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</si>
  <si>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</si>
  <si>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</si>
  <si>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</si>
  <si>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</si>
  <si>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</si>
  <si>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</si>
  <si>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</si>
  <si>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</si>
  <si>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</si>
  <si>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</si>
  <si>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</si>
  <si>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</si>
  <si>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</si>
  <si>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</si>
  <si>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</si>
  <si>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</si>
  <si>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</si>
  <si>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</si>
  <si>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</si>
  <si>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</si>
  <si>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</si>
  <si>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</si>
  <si>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</si>
  <si>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</si>
  <si>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</si>
  <si>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</si>
  <si>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</si>
  <si>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</si>
  <si>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</si>
  <si>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</si>
  <si>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</si>
  <si>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</si>
  <si>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</si>
  <si>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</si>
  <si>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</si>
  <si>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</si>
  <si>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</si>
  <si>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</si>
  <si>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</si>
  <si>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</si>
  <si>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</si>
  <si>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</si>
  <si>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</si>
  <si>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</si>
  <si>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</si>
  <si>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</si>
  <si>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</si>
  <si>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</si>
  <si>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</si>
  <si>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</si>
  <si>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</si>
  <si>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</si>
  <si>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</si>
  <si>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</si>
  <si>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</si>
  <si>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</si>
  <si>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</si>
  <si>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</si>
  <si>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</si>
  <si>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</si>
  <si>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</si>
  <si>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</si>
  <si>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</si>
  <si>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</si>
  <si>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</si>
  <si>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</si>
  <si>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</si>
  <si>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</si>
  <si>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</si>
  <si>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</si>
  <si>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</si>
  <si>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</si>
  <si>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</si>
  <si>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</si>
  <si>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</si>
  <si>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</si>
  <si>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</si>
  <si>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</si>
  <si>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</si>
  <si>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</si>
  <si>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</si>
  <si>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</si>
  <si>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</si>
  <si>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</si>
  <si>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</si>
  <si>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</si>
  <si>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</si>
  <si>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</si>
  <si>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</si>
  <si>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</si>
  <si>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</si>
  <si>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</si>
  <si>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</si>
  <si>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</si>
  <si>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</si>
  <si>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</si>
  <si>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</si>
  <si>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</si>
  <si>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</si>
  <si>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</si>
  <si>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</si>
  <si>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</si>
  <si>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</si>
  <si>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</si>
  <si>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</si>
  <si>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</si>
  <si>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</si>
  <si>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</si>
  <si>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</si>
  <si>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</si>
  <si>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</si>
  <si>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</si>
  <si>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</si>
  <si>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</si>
  <si>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</si>
  <si>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</si>
  <si>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</si>
  <si>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</si>
  <si>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</si>
  <si>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</si>
  <si>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</si>
  <si>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</si>
  <si>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</si>
  <si>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</si>
  <si>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</si>
  <si>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</si>
  <si>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</si>
  <si>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</si>
  <si>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</si>
  <si>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</si>
  <si>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</si>
  <si>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</si>
  <si>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</si>
  <si>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</si>
  <si>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</si>
  <si>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</si>
  <si>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</si>
  <si>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</si>
  <si>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</si>
  <si>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</si>
  <si>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</si>
  <si>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</si>
  <si>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</si>
  <si>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</si>
  <si>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</si>
  <si>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</si>
  <si>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</si>
  <si>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</si>
  <si>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</si>
  <si>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</si>
  <si>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</si>
  <si>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</si>
  <si>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</si>
  <si>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</si>
  <si>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</si>
  <si>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</si>
  <si>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</si>
  <si>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</si>
  <si>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</si>
  <si>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</si>
  <si>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</si>
  <si>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</si>
  <si>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</si>
  <si>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</si>
  <si>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</si>
  <si>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</si>
  <si>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</si>
  <si>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</si>
  <si>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</si>
  <si>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</si>
  <si>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</si>
  <si>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</si>
  <si>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</si>
  <si>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</si>
  <si>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</si>
  <si>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</si>
  <si>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</si>
  <si>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</si>
  <si>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</si>
  <si>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</si>
  <si>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</si>
  <si>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</si>
  <si>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</si>
  <si>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</si>
  <si>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</si>
  <si>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</si>
  <si>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</si>
  <si>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</si>
  <si>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</si>
  <si>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</si>
  <si>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</si>
  <si>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</si>
  <si>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</si>
  <si>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</si>
  <si>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</si>
  <si>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</si>
  <si>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</si>
  <si>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</si>
  <si>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</si>
  <si>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</si>
  <si>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</si>
  <si>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</si>
  <si>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</si>
  <si>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</si>
  <si>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</si>
  <si>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</si>
  <si>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</si>
  <si>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</si>
  <si>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</si>
  <si>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</si>
  <si>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</si>
  <si>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</si>
  <si>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</si>
  <si>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</si>
  <si>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</si>
  <si>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</si>
  <si>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</si>
  <si>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</si>
  <si>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</si>
  <si>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</si>
  <si>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</si>
  <si>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</si>
  <si>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</si>
  <si>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</si>
  <si>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</si>
  <si>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</si>
  <si>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</si>
  <si>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</si>
  <si>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</si>
  <si>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</si>
  <si>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</si>
  <si>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</si>
  <si>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</si>
  <si>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</si>
  <si>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</si>
  <si>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</si>
  <si>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</si>
  <si>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</si>
  <si>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</si>
  <si>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</si>
  <si>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</si>
  <si>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</si>
  <si>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</si>
  <si>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</si>
  <si>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</si>
  <si>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</si>
  <si>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</si>
  <si>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</si>
  <si>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</si>
  <si>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</si>
  <si>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</si>
  <si>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</si>
  <si>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</si>
  <si>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</si>
  <si>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</si>
  <si>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</si>
  <si>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</si>
  <si>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</si>
  <si>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</si>
  <si>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</si>
  <si>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</si>
  <si>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</si>
  <si>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</si>
  <si>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</si>
  <si>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</si>
  <si>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</si>
  <si>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</si>
  <si>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</si>
  <si>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</si>
  <si>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</si>
  <si>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</si>
  <si>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</si>
  <si>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</si>
  <si>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</si>
  <si>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</si>
  <si>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</si>
  <si>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</si>
  <si>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</si>
  <si>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</si>
  <si>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</si>
  <si>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</si>
  <si>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</si>
  <si>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</si>
  <si>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</si>
  <si>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</si>
  <si>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</si>
  <si>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</si>
  <si>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</si>
  <si>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</si>
  <si>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</si>
  <si>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</si>
  <si>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</si>
  <si>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</si>
  <si>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</si>
  <si>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</si>
  <si>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</si>
  <si>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</si>
  <si>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</si>
  <si>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</si>
  <si>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</si>
  <si>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</si>
  <si>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</si>
  <si>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</si>
  <si>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</si>
  <si>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</si>
  <si>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</si>
  <si>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</si>
  <si>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</si>
  <si>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</si>
  <si>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</si>
  <si>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</si>
  <si>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</si>
  <si>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</si>
  <si>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</si>
  <si>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</si>
  <si>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</si>
  <si>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</si>
  <si>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</si>
  <si>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</si>
  <si>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</si>
  <si>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</si>
  <si>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</si>
  <si>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</si>
  <si>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</si>
  <si>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</si>
  <si>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</si>
  <si>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</si>
  <si>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</si>
  <si>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</si>
  <si>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</si>
  <si>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</si>
  <si>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</si>
  <si>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</si>
  <si>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</si>
  <si>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</si>
  <si>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</si>
  <si>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</si>
  <si>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</si>
  <si>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</si>
  <si>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</si>
  <si>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</si>
  <si>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</si>
  <si>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</si>
  <si>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</si>
  <si>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</si>
  <si>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</si>
  <si>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</si>
  <si>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</si>
  <si>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</si>
  <si>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</si>
  <si>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</si>
  <si>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</si>
  <si>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</si>
  <si>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</si>
  <si>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</si>
  <si>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</si>
  <si>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</si>
  <si>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</si>
  <si>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</si>
  <si>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</si>
  <si>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</si>
  <si>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</si>
  <si>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</si>
  <si>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</si>
  <si>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</si>
  <si>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</si>
  <si>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</si>
  <si>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</si>
  <si>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</si>
  <si>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</si>
  <si>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</si>
  <si>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</si>
  <si>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</si>
  <si>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</si>
  <si>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</si>
  <si>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</si>
  <si>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</si>
  <si>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</si>
  <si>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</si>
  <si>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</si>
  <si>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</si>
  <si>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</si>
  <si>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</si>
  <si>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</si>
  <si>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</si>
  <si>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</si>
  <si>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</si>
  <si>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</si>
  <si>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</si>
  <si>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</si>
  <si>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</si>
  <si>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</si>
  <si>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</si>
  <si>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</si>
  <si>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</si>
  <si>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</si>
  <si>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</si>
  <si>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</si>
  <si>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</si>
  <si>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</si>
  <si>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</si>
  <si>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</si>
  <si>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</si>
  <si>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</si>
  <si>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</si>
  <si>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</si>
  <si>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</si>
  <si>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</si>
  <si>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</si>
  <si>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</si>
  <si>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</si>
  <si>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</si>
  <si>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</si>
  <si>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</si>
  <si>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</si>
  <si>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</si>
  <si>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</si>
  <si>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</si>
  <si>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</si>
  <si>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</si>
  <si>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</si>
  <si>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</si>
  <si>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</si>
  <si>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</si>
  <si>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</si>
  <si>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</si>
  <si>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</si>
  <si>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</si>
  <si>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</si>
  <si>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</si>
  <si>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</si>
  <si>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</si>
  <si>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</si>
  <si>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</si>
  <si>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</si>
  <si>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</si>
  <si>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</si>
  <si>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</si>
  <si>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</si>
  <si>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</si>
  <si>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</si>
  <si>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</si>
  <si>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</si>
  <si>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</si>
  <si>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</si>
  <si>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</si>
  <si>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</si>
  <si>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</si>
  <si>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</si>
  <si>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</si>
  <si>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</si>
  <si>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</si>
  <si>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</si>
  <si>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</si>
  <si>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</si>
  <si>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</si>
  <si>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</si>
  <si>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</si>
  <si>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</si>
  <si>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</si>
  <si>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</si>
  <si>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</si>
  <si>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</si>
  <si>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</si>
  <si>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</si>
  <si>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</si>
  <si>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</si>
  <si>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</si>
  <si>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</si>
  <si>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</si>
  <si>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</si>
  <si>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</si>
  <si>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</si>
  <si>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</si>
  <si>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</si>
  <si>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</si>
  <si>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</si>
  <si>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</si>
  <si>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</si>
  <si>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</si>
  <si>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</si>
  <si>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</si>
  <si>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</si>
  <si>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</si>
  <si>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</si>
  <si>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</si>
  <si>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</si>
  <si>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</si>
  <si>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</si>
  <si>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</si>
  <si>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</si>
  <si>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</si>
  <si>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</si>
  <si>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</si>
  <si>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</si>
  <si>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</si>
  <si>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</si>
  <si>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</si>
  <si>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</si>
  <si>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</si>
  <si>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</si>
  <si>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</si>
  <si>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</si>
  <si>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</si>
  <si>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</si>
  <si>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</si>
  <si>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</si>
  <si>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</si>
  <si>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</si>
  <si>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</si>
  <si>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</si>
  <si>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</si>
  <si>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</si>
  <si>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</si>
  <si>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</si>
  <si>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</si>
  <si>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</si>
  <si>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</si>
  <si>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</si>
  <si>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</si>
  <si>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</si>
  <si>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</si>
  <si>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</si>
  <si>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</si>
  <si>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</si>
  <si>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</si>
  <si>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</si>
  <si>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</si>
  <si>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</si>
  <si>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</si>
  <si>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</si>
  <si>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</si>
  <si>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</si>
  <si>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</si>
  <si>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</si>
  <si>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</si>
  <si>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</si>
  <si>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</si>
  <si>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</si>
  <si>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</si>
  <si>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</si>
  <si>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</si>
  <si>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</si>
  <si>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</si>
  <si>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</si>
  <si>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</si>
  <si>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</si>
  <si>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</si>
  <si>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</si>
  <si>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</si>
  <si>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</si>
  <si>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</si>
  <si>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</si>
  <si>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</si>
  <si>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</si>
  <si>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</si>
  <si>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</si>
  <si>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</si>
  <si>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</si>
  <si>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</si>
  <si>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</si>
  <si>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</si>
  <si>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</si>
  <si>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</si>
  <si>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</si>
  <si>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</si>
  <si>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</si>
  <si>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</si>
  <si>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</si>
  <si>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</si>
  <si>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</si>
  <si>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</si>
  <si>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</si>
  <si>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</si>
  <si>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</si>
  <si>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</si>
  <si>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</si>
  <si>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</si>
  <si>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</si>
  <si>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</si>
  <si>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</si>
  <si>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</si>
  <si>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</si>
  <si>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</si>
  <si>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</si>
  <si>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</si>
  <si>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</si>
  <si>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</si>
  <si>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</si>
  <si>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</si>
  <si>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</si>
  <si>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</si>
  <si>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</si>
  <si>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</si>
  <si>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</si>
  <si>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</si>
  <si>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</si>
  <si>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</si>
  <si>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</si>
  <si>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</si>
  <si>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</si>
  <si>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</si>
  <si>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</si>
  <si>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</si>
  <si>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</si>
  <si>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</si>
  <si>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</si>
  <si>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</si>
  <si>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</si>
  <si>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</si>
  <si>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</si>
  <si>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</si>
  <si>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</si>
  <si>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</si>
  <si>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</si>
  <si>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</si>
  <si>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</si>
  <si>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</si>
  <si>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</si>
  <si>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</si>
  <si>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</si>
  <si>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</si>
  <si>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</si>
  <si>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</si>
  <si>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</si>
  <si>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</si>
  <si>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</si>
  <si>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</si>
  <si>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</si>
  <si>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</si>
  <si>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</si>
  <si>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</si>
  <si>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</si>
  <si>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</si>
  <si>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</si>
  <si>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</si>
  <si>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</si>
  <si>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</si>
  <si>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</si>
  <si>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</si>
  <si>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</si>
  <si>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</si>
  <si>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</si>
  <si>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</si>
  <si>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</si>
  <si>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</si>
  <si>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</si>
  <si>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</si>
  <si>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</si>
  <si>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</si>
  <si>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</si>
  <si>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</si>
  <si>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</si>
  <si>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</si>
  <si>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</si>
  <si>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</si>
  <si>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</si>
  <si>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</si>
  <si>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</si>
  <si>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</si>
  <si>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</si>
  <si>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</si>
  <si>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</si>
  <si>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</si>
  <si>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</si>
  <si>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</si>
  <si>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</si>
  <si>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</si>
  <si>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</si>
  <si>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</si>
  <si>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</si>
  <si>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</si>
  <si>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</si>
  <si>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</si>
  <si>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</si>
  <si>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</si>
  <si>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</si>
  <si>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</si>
  <si>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</si>
  <si>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</si>
  <si>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</si>
  <si>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</si>
  <si>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</si>
  <si>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</si>
  <si>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</si>
  <si>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</si>
  <si>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</si>
  <si>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</si>
  <si>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</si>
  <si>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</si>
  <si>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</si>
  <si>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</si>
  <si>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</si>
  <si>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</si>
  <si>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</si>
  <si>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</si>
  <si>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</si>
  <si>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</si>
  <si>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</si>
  <si>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</si>
  <si>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</si>
  <si>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</si>
  <si>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</si>
  <si>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</si>
  <si>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</si>
  <si>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</si>
  <si>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</si>
  <si>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</si>
  <si>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</si>
  <si>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</si>
  <si>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</si>
  <si>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</si>
  <si>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</si>
  <si>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</si>
  <si>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</si>
  <si>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</si>
  <si>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</si>
  <si>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</si>
  <si>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</si>
  <si>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</si>
  <si>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</si>
  <si>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</si>
  <si>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</si>
  <si>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</si>
  <si>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</si>
  <si>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</si>
  <si>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</si>
  <si>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</si>
  <si>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</si>
  <si>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</si>
  <si>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</si>
  <si>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</si>
  <si>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</si>
  <si>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</si>
  <si>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</si>
  <si>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</si>
  <si>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</si>
  <si>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</si>
  <si>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</si>
  <si>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</si>
  <si>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</si>
  <si>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</si>
  <si>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</si>
  <si>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</si>
  <si>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</si>
  <si>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</si>
  <si>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</si>
  <si>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</si>
  <si>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</si>
  <si>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</si>
  <si>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</si>
  <si>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</si>
  <si>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</si>
  <si>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</si>
  <si>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</si>
  <si>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</si>
  <si>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</si>
  <si>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</si>
  <si>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</si>
  <si>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</si>
  <si>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</si>
  <si>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</si>
  <si>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</si>
  <si>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</si>
  <si>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</si>
  <si>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</si>
  <si>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</si>
  <si>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</si>
  <si>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</si>
  <si>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</si>
  <si>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</si>
  <si>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</si>
  <si>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</si>
  <si>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</si>
  <si>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</si>
  <si>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</si>
  <si>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</si>
  <si>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</si>
  <si>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</si>
  <si>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</si>
  <si>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</si>
  <si>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</si>
  <si>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</si>
  <si>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</si>
  <si>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</si>
  <si>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</si>
  <si>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</si>
  <si>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</si>
  <si>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</si>
  <si>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</si>
  <si>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</si>
  <si>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</si>
  <si>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</si>
  <si>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</si>
  <si>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</si>
  <si>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</si>
  <si>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</si>
  <si>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</si>
  <si>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</si>
  <si>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</si>
  <si>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</si>
  <si>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</si>
  <si>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</si>
  <si>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</si>
  <si>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</si>
  <si>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</si>
  <si>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</si>
  <si>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</si>
  <si>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</si>
  <si>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</si>
  <si>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</si>
  <si>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</si>
  <si>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</si>
  <si>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</si>
  <si>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</si>
  <si>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</si>
  <si>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</si>
  <si>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</si>
  <si>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</si>
  <si>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</si>
  <si>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</si>
  <si>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</si>
  <si>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</si>
  <si>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</si>
  <si>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</si>
  <si>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</si>
  <si>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</si>
  <si>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</si>
  <si>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</si>
  <si>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</si>
  <si>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</si>
  <si>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</si>
  <si>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</si>
  <si>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</si>
  <si>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</si>
  <si>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</si>
  <si>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</si>
  <si>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</si>
  <si>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</si>
  <si>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</si>
  <si>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</si>
  <si>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</si>
  <si>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</si>
  <si>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</si>
  <si>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</si>
  <si>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</si>
  <si>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</si>
  <si>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</si>
  <si>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</si>
  <si>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</si>
  <si>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</si>
  <si>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</si>
  <si>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</si>
  <si>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</si>
  <si>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</si>
  <si>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</si>
  <si>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</si>
  <si>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</si>
  <si>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</si>
  <si>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</si>
  <si>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</si>
  <si>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</si>
  <si>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</si>
  <si>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</si>
  <si>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</si>
  <si>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</si>
  <si>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</si>
  <si>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</si>
  <si>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</si>
  <si>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</si>
  <si>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</si>
  <si>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</si>
  <si>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</si>
  <si>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</si>
  <si>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</si>
  <si>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</si>
  <si>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</si>
  <si>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</si>
  <si>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</si>
  <si>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</si>
  <si>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</si>
  <si>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</si>
  <si>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</si>
  <si>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</si>
  <si>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</si>
  <si>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</si>
  <si>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</si>
  <si>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</si>
  <si>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</si>
  <si>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</si>
  <si>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</si>
  <si>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</si>
  <si>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</si>
  <si>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</si>
  <si>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</si>
  <si>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</si>
  <si>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</si>
  <si>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</si>
  <si>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</si>
  <si>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</si>
  <si>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</si>
  <si>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</si>
  <si>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</si>
  <si>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</si>
  <si>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</si>
  <si>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</si>
  <si>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</si>
  <si>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</si>
  <si>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</si>
  <si>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</si>
  <si>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</si>
  <si>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</si>
  <si>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</si>
  <si>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</si>
  <si>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</si>
  <si>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</si>
  <si>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</si>
  <si>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</si>
  <si>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</si>
  <si>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</si>
  <si>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</si>
  <si>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</si>
  <si>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</si>
  <si>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</si>
  <si>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</si>
  <si>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</si>
  <si>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</si>
  <si>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</si>
  <si>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</si>
  <si>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</si>
  <si>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</si>
  <si>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</si>
  <si>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</si>
  <si>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</si>
  <si>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</si>
  <si>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</si>
  <si>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</si>
  <si>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</si>
  <si>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</si>
  <si>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</si>
  <si>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</si>
  <si>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</si>
  <si>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</si>
  <si>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</si>
  <si>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</si>
  <si>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</si>
  <si>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</si>
  <si>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</si>
  <si>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</si>
  <si>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</si>
  <si>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</si>
  <si>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</si>
  <si>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</si>
  <si>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</si>
  <si>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</si>
  <si>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</si>
  <si>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</si>
  <si>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</si>
  <si>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</si>
  <si>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</si>
  <si>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</si>
  <si>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</si>
  <si>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</si>
  <si>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</si>
  <si>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</si>
  <si>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</si>
  <si>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</si>
  <si>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</si>
  <si>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</si>
  <si>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</si>
  <si>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</si>
  <si>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</si>
  <si>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</si>
  <si>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</si>
  <si>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</si>
  <si>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</si>
  <si>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</si>
  <si>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</si>
  <si>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</si>
  <si>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</si>
  <si>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</si>
  <si>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</si>
  <si>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</si>
  <si>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</si>
  <si>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</si>
  <si>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</si>
  <si>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</si>
  <si>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</si>
  <si>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</si>
  <si>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</si>
  <si>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</si>
  <si>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</si>
  <si>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</si>
  <si>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</si>
  <si>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</si>
  <si>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</si>
  <si>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</si>
  <si>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</si>
  <si>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</si>
  <si>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</si>
  <si>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</si>
  <si>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</si>
  <si>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</si>
  <si>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</si>
  <si>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</si>
  <si>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</si>
  <si>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</si>
  <si>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</si>
  <si>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</si>
  <si>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</si>
  <si>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</si>
  <si>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</si>
  <si>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</si>
  <si>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</si>
  <si>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</si>
  <si>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</si>
  <si>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</si>
  <si>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</si>
  <si>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</si>
  <si>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</si>
  <si>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</si>
  <si>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</si>
  <si>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</si>
  <si>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</si>
  <si>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</si>
  <si>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</si>
  <si>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</si>
  <si>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</si>
  <si>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</si>
  <si>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</si>
  <si>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</si>
  <si>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</si>
  <si>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</si>
  <si>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</si>
  <si>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</si>
  <si>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</si>
  <si>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</si>
  <si>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</si>
  <si>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</si>
  <si>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</si>
  <si>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</si>
  <si>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</si>
  <si>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</si>
  <si>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</si>
  <si>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</si>
  <si>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</si>
  <si>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</si>
  <si>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</si>
  <si>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</si>
  <si>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</si>
  <si>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</si>
  <si>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</si>
  <si>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</si>
  <si>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</si>
  <si>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</si>
  <si>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</si>
  <si>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</si>
  <si>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</si>
  <si>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</si>
  <si>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</si>
  <si>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</si>
  <si>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</si>
  <si>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</si>
  <si>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</si>
  <si>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</si>
  <si>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</si>
  <si>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</si>
  <si>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</si>
  <si>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</si>
  <si>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</si>
  <si>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</si>
  <si>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</si>
  <si>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</si>
  <si>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</si>
  <si>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</si>
  <si>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</si>
  <si>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</si>
  <si>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</si>
  <si>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</si>
  <si>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</si>
  <si>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</si>
  <si>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</si>
  <si>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</si>
  <si>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</si>
  <si>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</si>
  <si>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</si>
  <si>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</si>
  <si>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</si>
  <si>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</si>
  <si>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</si>
  <si>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</si>
  <si>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</si>
  <si>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</si>
  <si>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</si>
  <si>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</si>
  <si>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</si>
  <si>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</si>
  <si>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</si>
  <si>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</si>
  <si>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</si>
  <si>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</si>
  <si>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</si>
  <si>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</si>
  <si>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</si>
  <si>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</si>
  <si>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</si>
  <si>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</si>
  <si>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</si>
  <si>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</si>
  <si>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</si>
  <si>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</si>
  <si>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</si>
  <si>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</si>
  <si>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</si>
  <si>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</si>
  <si>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</si>
  <si>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</si>
  <si>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</si>
  <si>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</si>
  <si>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</si>
  <si>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</si>
  <si>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</si>
  <si>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</si>
  <si>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</si>
  <si>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</si>
  <si>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</si>
  <si>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</si>
  <si>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</si>
  <si>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</si>
  <si>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</si>
  <si>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</si>
  <si>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</si>
  <si>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</si>
  <si>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</si>
  <si>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</si>
  <si>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</si>
  <si>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</si>
  <si>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</si>
  <si>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</si>
  <si>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</si>
  <si>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</si>
  <si>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</si>
  <si>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</si>
  <si>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</si>
  <si>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</si>
  <si>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</si>
  <si>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</si>
  <si>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</si>
  <si>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</si>
  <si>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</si>
  <si>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</si>
  <si>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</si>
  <si>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</si>
  <si>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</si>
  <si>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</si>
  <si>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</si>
  <si>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</si>
  <si>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</si>
  <si>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</si>
  <si>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</si>
  <si>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</si>
  <si>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</si>
  <si>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</si>
  <si>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</si>
  <si>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</si>
  <si>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</si>
  <si>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</si>
  <si>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</si>
  <si>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</si>
  <si>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</si>
  <si>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</si>
  <si>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</si>
  <si>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</si>
  <si>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</si>
  <si>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</si>
  <si>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</si>
  <si>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</si>
  <si>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</si>
  <si>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</si>
  <si>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</si>
  <si>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</si>
  <si>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</si>
  <si>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</si>
  <si>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</si>
  <si>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</si>
  <si>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</si>
  <si>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</si>
  <si>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</si>
  <si>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</si>
  <si>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</si>
  <si>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</si>
  <si>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</si>
  <si>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</si>
  <si>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</si>
  <si>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</si>
  <si>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</si>
  <si>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</si>
  <si>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</si>
  <si>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</si>
  <si>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</si>
  <si>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</si>
  <si>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</si>
  <si>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</si>
  <si>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</si>
  <si>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</si>
  <si>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</si>
  <si>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</si>
  <si>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</si>
  <si>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</si>
  <si>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</si>
  <si>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</si>
  <si>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</si>
  <si>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</si>
  <si>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</si>
  <si>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</si>
  <si>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</si>
  <si>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</si>
  <si>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</si>
  <si>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</si>
  <si>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</si>
  <si>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</si>
  <si>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</si>
  <si>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</si>
  <si>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</si>
  <si>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</si>
  <si>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</si>
  <si>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</si>
  <si>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</si>
  <si>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</si>
  <si>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</si>
  <si>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</si>
  <si>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</si>
  <si>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</si>
  <si>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</si>
  <si>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</si>
  <si>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</si>
  <si>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</si>
  <si>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</si>
  <si>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</si>
  <si>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</si>
  <si>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</si>
  <si>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</si>
  <si>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</si>
  <si>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</si>
  <si>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</si>
  <si>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</si>
  <si>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</si>
  <si>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</si>
  <si>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</si>
  <si>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</si>
  <si>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</si>
  <si>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</si>
  <si>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</si>
  <si>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</si>
  <si>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</si>
  <si>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</si>
  <si>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</si>
  <si>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</si>
  <si>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</si>
  <si>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</si>
  <si>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</si>
  <si>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</si>
  <si>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</si>
  <si>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</si>
  <si>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</si>
  <si>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</si>
  <si>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</si>
  <si>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</si>
  <si>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</si>
  <si>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</si>
  <si>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</si>
  <si>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</si>
  <si>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</si>
  <si>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</si>
  <si>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</si>
  <si>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</si>
  <si>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</si>
  <si>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</si>
  <si>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</si>
  <si>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</si>
  <si>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</si>
  <si>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</si>
  <si>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</si>
  <si>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</si>
  <si>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</si>
  <si>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</si>
  <si>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</si>
  <si>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</si>
  <si>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</si>
  <si>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</si>
  <si>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</si>
  <si>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</si>
  <si>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</si>
  <si>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</si>
  <si>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</si>
  <si>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</si>
  <si>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</si>
  <si>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</si>
  <si>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</si>
  <si>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</si>
  <si>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</si>
  <si>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</si>
  <si>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</si>
  <si>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</si>
  <si>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</si>
  <si>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</si>
  <si>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</si>
  <si>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</si>
  <si>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</si>
  <si>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</si>
  <si>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</si>
  <si>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</si>
  <si>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</si>
  <si>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</si>
  <si>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</si>
  <si>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</si>
  <si>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</si>
  <si>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</si>
  <si>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</si>
  <si>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</si>
  <si>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</si>
  <si>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</si>
  <si>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</si>
  <si>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</si>
  <si>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</si>
  <si>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</si>
  <si>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</si>
  <si>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</si>
  <si>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</si>
  <si>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</si>
  <si>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</si>
  <si>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</si>
  <si>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</si>
  <si>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</si>
  <si>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</si>
  <si>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</si>
  <si>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</si>
  <si>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</si>
  <si>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</si>
  <si>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</si>
  <si>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</si>
  <si>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</si>
  <si>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</si>
  <si>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</si>
  <si>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</si>
  <si>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</si>
  <si>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</si>
  <si>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</si>
  <si>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</si>
  <si>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</si>
  <si>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</si>
  <si>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</si>
  <si>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</si>
  <si>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</si>
  <si>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</si>
  <si>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</si>
  <si>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</si>
  <si>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</si>
  <si>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</si>
  <si>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</si>
  <si>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</si>
  <si>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</si>
  <si>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</si>
  <si>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</si>
  <si>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</si>
  <si>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</si>
  <si>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</si>
  <si>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</si>
  <si>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</si>
  <si>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</si>
  <si>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</si>
  <si>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</si>
  <si>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</si>
  <si>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</si>
  <si>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</si>
  <si>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</si>
  <si>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</si>
  <si>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</si>
  <si>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</si>
  <si>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</si>
  <si>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</si>
  <si>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</si>
  <si>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</si>
  <si>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</si>
  <si>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</si>
  <si>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</si>
  <si>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</si>
  <si>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</si>
  <si>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</si>
  <si>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</si>
  <si>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</si>
  <si>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</si>
  <si>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</si>
  <si>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</si>
  <si>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</si>
  <si>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</si>
  <si>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</si>
  <si>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</si>
  <si>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</si>
  <si>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</si>
  <si>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</si>
  <si>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</si>
  <si>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</si>
  <si>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</si>
  <si>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</si>
  <si>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</si>
  <si>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</si>
  <si>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</si>
  <si>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</si>
  <si>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</si>
  <si>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</si>
  <si>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</si>
  <si>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</si>
  <si>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</si>
  <si>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</si>
  <si>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</si>
  <si>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</si>
  <si>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</si>
  <si>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</si>
  <si>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</si>
  <si>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</si>
  <si>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</si>
  <si>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</si>
  <si>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</si>
  <si>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</si>
  <si>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</si>
  <si>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</si>
  <si>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</si>
  <si>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</si>
  <si>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</si>
  <si>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</si>
  <si>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</si>
  <si>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</si>
  <si>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</si>
  <si>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</si>
  <si>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</si>
  <si>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</si>
  <si>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</si>
  <si>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</si>
  <si>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</si>
  <si>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</si>
  <si>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</si>
  <si>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</si>
  <si>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</si>
  <si>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</si>
  <si>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</si>
  <si>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</si>
  <si>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</si>
  <si>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</si>
  <si>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</si>
  <si>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</si>
  <si>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</si>
  <si>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</si>
  <si>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</si>
  <si>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</si>
  <si>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</si>
  <si>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</si>
  <si>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</si>
  <si>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</si>
  <si>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</si>
  <si>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</si>
  <si>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</si>
  <si>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</si>
  <si>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</si>
  <si>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</si>
  <si>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</si>
  <si>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</si>
  <si>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</si>
  <si>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</si>
  <si>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</si>
  <si>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</si>
  <si>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</si>
  <si>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</si>
  <si>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</si>
  <si>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</si>
  <si>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</si>
  <si>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</si>
  <si>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</si>
  <si>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</si>
  <si>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</si>
  <si>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</si>
  <si>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</si>
  <si>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</si>
  <si>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</si>
  <si>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</si>
  <si>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</si>
  <si>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</si>
  <si>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</si>
  <si>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</si>
  <si>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</si>
  <si>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</si>
  <si>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</si>
  <si>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</si>
  <si>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</si>
  <si>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</si>
  <si>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</si>
  <si>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</si>
  <si>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</si>
  <si>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</si>
  <si>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</si>
  <si>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</si>
  <si>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</si>
  <si>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</si>
  <si>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</si>
  <si>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</si>
  <si>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</si>
  <si>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</si>
  <si>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</si>
  <si>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</si>
  <si>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</si>
  <si>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</si>
  <si>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</si>
  <si>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</si>
  <si>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</si>
  <si>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</si>
  <si>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</si>
  <si>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</si>
  <si>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</si>
  <si>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</si>
  <si>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</si>
  <si>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</si>
  <si>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</si>
  <si>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</si>
  <si>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</si>
  <si>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</si>
  <si>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</si>
  <si>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</si>
  <si>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</si>
  <si>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</si>
  <si>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</si>
  <si>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</si>
  <si>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</si>
  <si>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</si>
  <si>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</si>
  <si>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</si>
  <si>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</si>
  <si>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</si>
  <si>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</si>
  <si>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</si>
  <si>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</si>
  <si>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</si>
  <si>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</si>
  <si>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</si>
  <si>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</si>
  <si>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</si>
  <si>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</si>
  <si>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</si>
  <si>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</si>
  <si>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</si>
  <si>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</si>
  <si>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</si>
  <si>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</si>
  <si>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</si>
  <si>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</si>
  <si>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</si>
  <si>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</si>
  <si>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</si>
  <si>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</si>
  <si>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</si>
  <si>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</si>
  <si>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</si>
  <si>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</si>
  <si>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</si>
  <si>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</si>
  <si>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</si>
  <si>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</si>
  <si>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</si>
  <si>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</si>
  <si>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</si>
  <si>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</si>
  <si>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</si>
  <si>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</si>
  <si>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</si>
  <si>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</si>
  <si>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</si>
  <si>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</si>
  <si>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</si>
  <si>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</si>
  <si>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</si>
  <si>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</si>
  <si>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</si>
  <si>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</si>
  <si>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</si>
  <si>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</si>
  <si>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</si>
  <si>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</si>
  <si>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</si>
  <si>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</si>
  <si>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</si>
  <si>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</si>
  <si>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</si>
  <si>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</si>
  <si>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</si>
  <si>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</si>
  <si>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</si>
  <si>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</si>
  <si>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</si>
  <si>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</si>
  <si>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</si>
  <si>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</si>
  <si>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</si>
  <si>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</si>
  <si>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</si>
  <si>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</si>
  <si>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</si>
  <si>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</si>
  <si>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</si>
  <si>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</si>
  <si>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</si>
  <si>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</si>
  <si>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</si>
  <si>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</si>
  <si>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</si>
  <si>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</si>
  <si>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</si>
  <si>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</si>
  <si>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</si>
  <si>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</si>
  <si>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</si>
  <si>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</si>
  <si>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</si>
  <si>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</si>
  <si>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</si>
  <si>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</si>
  <si>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</si>
  <si>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</si>
  <si>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</si>
  <si>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</si>
  <si>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</si>
  <si>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</si>
  <si>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</si>
  <si>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</si>
  <si>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</si>
  <si>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</si>
  <si>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</si>
  <si>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</si>
  <si>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</si>
  <si>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</si>
  <si>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</si>
  <si>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</si>
  <si>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</si>
  <si>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</si>
  <si>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</si>
  <si>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</si>
  <si>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</si>
  <si>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</si>
  <si>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</si>
  <si>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</si>
  <si>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</si>
  <si>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</si>
  <si>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</si>
  <si>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</si>
  <si>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</si>
  <si>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</si>
  <si>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</si>
  <si>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</si>
  <si>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</si>
  <si>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</si>
  <si>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</si>
  <si>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</si>
  <si>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</si>
  <si>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</si>
  <si>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</si>
  <si>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</si>
  <si>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</si>
  <si>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</si>
  <si>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</si>
  <si>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</si>
  <si>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</si>
  <si>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</si>
  <si>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</si>
  <si>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</si>
  <si>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</si>
  <si>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</si>
  <si>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</si>
  <si>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</si>
  <si>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</si>
  <si>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</si>
  <si>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</si>
  <si>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</si>
  <si>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</si>
  <si>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</si>
  <si>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</si>
  <si>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</si>
  <si>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</si>
  <si>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</si>
  <si>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</si>
  <si>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</si>
  <si>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</si>
  <si>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</si>
  <si>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</si>
  <si>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</si>
  <si>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</si>
  <si>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</si>
  <si>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</si>
  <si>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</si>
  <si>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</si>
  <si>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</si>
  <si>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</si>
  <si>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</si>
  <si>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</si>
  <si>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</si>
  <si>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</si>
  <si>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</si>
  <si>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</si>
  <si>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</si>
  <si>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</si>
  <si>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</si>
  <si>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</si>
  <si>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</si>
  <si>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</si>
  <si>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</si>
  <si>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</si>
  <si>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</si>
  <si>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</si>
  <si>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</si>
  <si>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</si>
  <si>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</si>
  <si>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</si>
  <si>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</si>
  <si>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</si>
  <si>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</si>
  <si>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</si>
  <si>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</si>
  <si>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</si>
  <si>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</si>
  <si>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</si>
  <si>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</si>
  <si>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</si>
  <si>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</si>
  <si>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</si>
  <si>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</si>
  <si>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</si>
  <si>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</si>
  <si>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</si>
  <si>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</si>
  <si>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</si>
  <si>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</si>
  <si>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</si>
  <si>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</si>
  <si>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</si>
  <si>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</si>
  <si>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</si>
  <si>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</si>
  <si>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</si>
  <si>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</si>
  <si>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</si>
  <si>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</si>
  <si>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</si>
  <si>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</si>
  <si>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</si>
  <si>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</si>
  <si>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</si>
  <si>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</si>
  <si>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</si>
  <si>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</si>
  <si>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</si>
  <si>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</si>
  <si>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</si>
  <si>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</si>
  <si>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</si>
  <si>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</si>
  <si>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</si>
  <si>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</si>
  <si>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</si>
  <si>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</si>
  <si>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</si>
  <si>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</si>
  <si>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</si>
  <si>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</si>
  <si>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</si>
  <si>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</si>
  <si>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</si>
  <si>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</si>
  <si>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</si>
  <si>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</si>
  <si>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</si>
  <si>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</si>
  <si>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</si>
  <si>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</si>
  <si>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</si>
  <si>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</si>
  <si>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</si>
  <si>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</si>
  <si>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</si>
  <si>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</si>
  <si>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</si>
  <si>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</si>
  <si>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</si>
  <si>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</si>
  <si>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</si>
  <si>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</si>
  <si>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</si>
  <si>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</si>
  <si>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</si>
  <si>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</si>
  <si>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</si>
  <si>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</si>
  <si>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</si>
  <si>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</si>
  <si>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</si>
  <si>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</si>
  <si>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</si>
  <si>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</si>
  <si>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</si>
  <si>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</si>
  <si>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</si>
  <si>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</si>
  <si>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</si>
  <si>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</si>
  <si>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</si>
  <si>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</si>
  <si>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</si>
  <si>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</si>
  <si>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</si>
  <si>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</si>
  <si>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</si>
  <si>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</si>
  <si>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</si>
  <si>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</si>
  <si>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</si>
  <si>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</si>
  <si>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</si>
  <si>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</si>
  <si>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</si>
  <si>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</si>
  <si>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</si>
  <si>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</si>
  <si>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</si>
  <si>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</si>
  <si>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</si>
  <si>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</si>
  <si>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</si>
  <si>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</si>
  <si>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</si>
  <si>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</si>
  <si>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</si>
  <si>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</si>
  <si>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</si>
  <si>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</si>
  <si>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</si>
  <si>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</si>
  <si>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</si>
  <si>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</si>
  <si>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</si>
  <si>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</si>
  <si>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</si>
  <si>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</si>
  <si>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</si>
  <si>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</si>
  <si>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</si>
  <si>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</si>
  <si>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</si>
  <si>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</si>
  <si>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</si>
  <si>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</si>
  <si>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</si>
  <si>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</si>
  <si>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</si>
  <si>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</si>
  <si>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</si>
  <si>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</si>
  <si>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</si>
  <si>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</si>
  <si>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</si>
  <si>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</si>
  <si>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</si>
  <si>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</si>
  <si>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</si>
  <si>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</si>
  <si>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</si>
  <si>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</si>
  <si>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</si>
  <si>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</si>
  <si>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</si>
  <si>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</si>
  <si>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</si>
  <si>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</si>
  <si>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</si>
  <si>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</si>
  <si>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</si>
  <si>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</si>
  <si>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</si>
  <si>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</si>
  <si>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</si>
  <si>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</si>
  <si>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</si>
  <si>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</si>
  <si>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</si>
  <si>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</si>
  <si>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</si>
  <si>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</si>
  <si>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</si>
  <si>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</si>
  <si>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</si>
  <si>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</si>
  <si>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</si>
  <si>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</si>
  <si>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</si>
  <si>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</si>
  <si>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</si>
  <si>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</si>
  <si>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</si>
  <si>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</si>
  <si>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</si>
  <si>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</si>
  <si>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</si>
  <si>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</si>
  <si>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</si>
  <si>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</si>
  <si>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</si>
  <si>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</si>
  <si>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</si>
  <si>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</si>
  <si>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</si>
  <si>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</si>
  <si>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</si>
  <si>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</si>
  <si>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</si>
  <si>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</si>
  <si>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</si>
  <si>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</si>
  <si>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</si>
  <si>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</si>
  <si>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</si>
  <si>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</si>
  <si>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</si>
  <si>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</si>
  <si>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</si>
  <si>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</si>
  <si>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</si>
  <si>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</si>
  <si>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</si>
  <si>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</si>
  <si>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</si>
  <si>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</si>
  <si>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</si>
  <si>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</si>
  <si>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</si>
  <si>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</si>
  <si>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</si>
  <si>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</si>
  <si>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</si>
  <si>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</si>
  <si>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</si>
  <si>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</si>
  <si>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</si>
  <si>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</si>
  <si>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</si>
  <si>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</si>
  <si>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</si>
  <si>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</si>
  <si>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</si>
  <si>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</si>
  <si>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</si>
  <si>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</si>
  <si>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</si>
  <si>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</si>
  <si>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</si>
  <si>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</si>
  <si>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</si>
  <si>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</si>
  <si>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</si>
  <si>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</si>
  <si>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</si>
  <si>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</si>
  <si>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</si>
  <si>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</si>
  <si>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</si>
  <si>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</si>
  <si>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</si>
  <si>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</si>
  <si>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</si>
  <si>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</si>
  <si>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</si>
  <si>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</si>
  <si>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</si>
  <si>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</si>
  <si>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</si>
  <si>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</si>
  <si>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</si>
  <si>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</si>
  <si>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</si>
  <si>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</si>
  <si>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</si>
  <si>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</si>
  <si>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</si>
  <si>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</si>
  <si>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</si>
  <si>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</si>
  <si>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</si>
  <si>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</si>
  <si>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</si>
  <si>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</si>
  <si>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</si>
  <si>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</si>
  <si>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</si>
  <si>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</si>
  <si>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</si>
  <si>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</si>
  <si>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</si>
  <si>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</si>
  <si>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</si>
  <si>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</si>
  <si>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</si>
  <si>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</si>
  <si>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</si>
  <si>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</si>
  <si>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</si>
  <si>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</si>
  <si>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</si>
  <si>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</si>
  <si>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</si>
  <si>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</si>
  <si>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</si>
  <si>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</si>
  <si>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</si>
  <si>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</si>
  <si>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</si>
  <si>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</si>
  <si>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</si>
  <si>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</si>
  <si>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</si>
  <si>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</si>
  <si>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</si>
  <si>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</si>
  <si>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</si>
  <si>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</si>
  <si>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</si>
  <si>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</si>
  <si>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</si>
  <si>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</si>
  <si>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</si>
  <si>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</si>
  <si>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</si>
  <si>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</si>
  <si>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</si>
  <si>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</si>
  <si>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</si>
  <si>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</si>
  <si>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</si>
  <si>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</si>
  <si>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</si>
  <si>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</si>
  <si>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</si>
  <si>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</si>
  <si>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</si>
  <si>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</si>
  <si>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</si>
  <si>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</si>
  <si>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</si>
  <si>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</si>
  <si>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</si>
  <si>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</si>
  <si>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</si>
  <si>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</si>
  <si>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</si>
  <si>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</si>
  <si>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</si>
  <si>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</si>
  <si>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</si>
  <si>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</si>
  <si>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</si>
  <si>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</si>
  <si>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</si>
  <si>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</si>
  <si>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</si>
  <si>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</si>
  <si>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</si>
  <si>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</si>
  <si>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</si>
  <si>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</si>
  <si>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</si>
  <si>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</si>
  <si>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</si>
  <si>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</si>
  <si>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</si>
  <si>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</si>
  <si>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</si>
  <si>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</si>
  <si>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</si>
  <si>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</si>
  <si>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</si>
  <si>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</si>
  <si>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</si>
  <si>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</si>
  <si>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</si>
  <si>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</si>
  <si>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</si>
  <si>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</si>
  <si>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</si>
  <si>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</si>
  <si>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</si>
  <si>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</si>
  <si>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</si>
  <si>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</si>
  <si>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</si>
  <si>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</si>
  <si>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</si>
  <si>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</si>
  <si>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</si>
  <si>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</si>
  <si>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</si>
  <si>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</si>
  <si>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</si>
  <si>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</si>
  <si>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</si>
  <si>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</si>
  <si>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</si>
  <si>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</si>
  <si>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</si>
  <si>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</si>
  <si>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</si>
  <si>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</si>
  <si>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</si>
  <si>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</si>
  <si>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</si>
  <si>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</si>
  <si>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</si>
  <si>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</si>
  <si>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</si>
  <si>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</si>
  <si>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</si>
  <si>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</si>
  <si>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</si>
  <si>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</si>
  <si>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</si>
  <si>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</si>
  <si>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</si>
  <si>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</si>
  <si>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</si>
  <si>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</si>
  <si>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</si>
  <si>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</si>
  <si>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</si>
  <si>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</si>
  <si>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</si>
  <si>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</si>
  <si>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</si>
  <si>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</si>
  <si>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</si>
  <si>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</si>
  <si>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</si>
  <si>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</si>
  <si>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</si>
  <si>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</si>
  <si>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</si>
  <si>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</si>
  <si>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</si>
  <si>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</si>
  <si>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</si>
  <si>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</si>
  <si>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</si>
  <si>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</si>
  <si>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</si>
  <si>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</si>
  <si>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</si>
  <si>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</si>
  <si>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</si>
  <si>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</si>
  <si>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</si>
  <si>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</si>
  <si>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</si>
  <si>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</si>
  <si>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</si>
  <si>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</si>
  <si>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</si>
  <si>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</si>
  <si>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</si>
  <si>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</si>
  <si>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</si>
  <si>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</si>
  <si>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</si>
  <si>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</si>
  <si>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</si>
  <si>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</si>
  <si>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</si>
  <si>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</si>
  <si>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</si>
  <si>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</si>
  <si>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</si>
  <si>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</si>
  <si>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</si>
  <si>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</si>
  <si>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</si>
  <si>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</si>
  <si>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</si>
  <si>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</si>
  <si>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</si>
  <si>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</si>
  <si>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</si>
  <si>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</si>
  <si>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</si>
  <si>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</si>
  <si>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</si>
  <si>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</si>
  <si>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</si>
  <si>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</si>
  <si>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</si>
  <si>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</si>
  <si>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</si>
  <si>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</si>
  <si>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</si>
  <si>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</si>
  <si>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</si>
  <si>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</si>
  <si>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</si>
  <si>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</si>
  <si>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</si>
  <si>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</si>
  <si>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</si>
  <si>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</si>
  <si>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</si>
  <si>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</si>
  <si>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</si>
  <si>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</si>
  <si>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</si>
  <si>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</si>
  <si>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</si>
  <si>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</si>
  <si>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</si>
  <si>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</si>
  <si>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</si>
  <si>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</si>
  <si>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</si>
  <si>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</si>
  <si>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</si>
  <si>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</si>
  <si>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</si>
  <si>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</si>
  <si>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</si>
  <si>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</si>
  <si>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</si>
  <si>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</si>
  <si>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</si>
  <si>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</si>
  <si>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</si>
  <si>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</si>
  <si>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</si>
  <si>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</si>
  <si>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</si>
  <si>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</si>
  <si>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</si>
  <si>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</si>
  <si>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</si>
  <si>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</si>
  <si>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</si>
  <si>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</si>
  <si>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</si>
  <si>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</si>
  <si>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</si>
  <si>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</si>
  <si>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</si>
  <si>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</si>
  <si>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</si>
  <si>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</si>
  <si>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</si>
  <si>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</si>
  <si>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</si>
  <si>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</si>
  <si>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</si>
  <si>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</si>
  <si>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</si>
  <si>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</si>
  <si>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</si>
  <si>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</si>
  <si>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</si>
  <si>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</si>
  <si>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</si>
  <si>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</si>
  <si>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</si>
  <si>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</si>
  <si>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</si>
  <si>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</si>
  <si>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</si>
  <si>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</si>
  <si>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</si>
  <si>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</si>
  <si>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</si>
  <si>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</si>
  <si>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</si>
  <si>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</si>
  <si>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</si>
  <si>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</si>
  <si>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</si>
  <si>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</si>
  <si>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</si>
  <si>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</si>
  <si>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</si>
  <si>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</si>
  <si>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</si>
  <si>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</si>
  <si>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</si>
  <si>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</si>
  <si>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</si>
  <si>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</si>
  <si>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</si>
  <si>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</si>
  <si>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</si>
  <si>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</si>
  <si>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</si>
  <si>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</si>
  <si>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</si>
  <si>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</si>
  <si>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</si>
  <si>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</si>
  <si>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</si>
  <si>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</si>
  <si>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</si>
  <si>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</si>
  <si>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</si>
  <si>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</si>
  <si>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</si>
  <si>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</si>
  <si>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</si>
  <si>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</si>
  <si>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</si>
  <si>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</si>
  <si>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</si>
  <si>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</si>
  <si>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</si>
  <si>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</si>
  <si>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</si>
  <si>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</si>
  <si>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</si>
  <si>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</si>
  <si>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</si>
  <si>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</si>
  <si>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</si>
  <si>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</si>
  <si>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</si>
  <si>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</si>
  <si>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</si>
  <si>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</si>
  <si>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</si>
  <si>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</si>
  <si>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</si>
  <si>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</si>
  <si>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</si>
  <si>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</si>
  <si>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</si>
  <si>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</si>
  <si>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</si>
  <si>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</si>
  <si>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</si>
  <si>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</si>
  <si>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</si>
  <si>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</si>
  <si>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</si>
  <si>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</si>
  <si>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</si>
  <si>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</si>
  <si>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</si>
  <si>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</si>
  <si>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</si>
  <si>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</si>
  <si>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</si>
  <si>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</si>
  <si>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</si>
  <si>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</si>
  <si>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</si>
  <si>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</si>
  <si>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</si>
  <si>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</si>
  <si>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</si>
  <si>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</si>
  <si>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</si>
  <si>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</si>
  <si>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</si>
  <si>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</si>
  <si>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</si>
  <si>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</si>
  <si>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</si>
  <si>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</si>
  <si>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</si>
  <si>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</si>
  <si>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</si>
  <si>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</si>
  <si>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</si>
  <si>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</si>
  <si>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</si>
  <si>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</si>
  <si>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</si>
  <si>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</si>
  <si>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</si>
  <si>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</si>
  <si>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</si>
  <si>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</si>
  <si>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</si>
  <si>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</si>
  <si>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</si>
  <si>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</si>
  <si>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</si>
  <si>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</si>
  <si>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</si>
  <si>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</si>
  <si>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</si>
  <si>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</si>
  <si>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</si>
  <si>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</si>
  <si>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</si>
  <si>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</si>
  <si>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</si>
  <si>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</si>
  <si>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</si>
  <si>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</si>
  <si>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</si>
  <si>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</si>
  <si>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</si>
  <si>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</si>
  <si>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</si>
  <si>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</si>
  <si>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</si>
  <si>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</si>
  <si>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</si>
  <si>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</si>
  <si>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</si>
  <si>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</si>
  <si>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</si>
  <si>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</si>
  <si>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</si>
  <si>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</si>
  <si>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</si>
  <si>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</si>
  <si>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</si>
  <si>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</si>
  <si>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</si>
  <si>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</si>
  <si>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</si>
  <si>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</si>
  <si>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</si>
  <si>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</si>
  <si>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</si>
  <si>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</si>
  <si>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</si>
  <si>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</si>
  <si>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</si>
  <si>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</si>
  <si>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</si>
  <si>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</si>
  <si>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</si>
  <si>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</si>
  <si>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</si>
  <si>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</si>
  <si>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</si>
  <si>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</si>
  <si>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</si>
  <si>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</si>
  <si>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</si>
  <si>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</si>
  <si>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</si>
  <si>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</si>
  <si>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</si>
  <si>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</si>
  <si>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</si>
  <si>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</si>
  <si>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</si>
  <si>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</si>
  <si>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</si>
  <si>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</si>
  <si>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</si>
  <si>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</si>
  <si>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</si>
  <si>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</si>
  <si>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</si>
  <si>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</si>
  <si>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</si>
  <si>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</si>
  <si>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</si>
  <si>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</si>
  <si>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</si>
  <si>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</si>
  <si>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</si>
  <si>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</si>
  <si>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</si>
  <si>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</si>
  <si>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</si>
  <si>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</si>
  <si>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</si>
  <si>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</si>
  <si>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</si>
  <si>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</si>
  <si>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</si>
  <si>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</si>
  <si>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</si>
  <si>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</si>
  <si>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</si>
  <si>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</si>
  <si>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</si>
  <si>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</si>
  <si>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</si>
  <si>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</si>
  <si>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</si>
  <si>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</si>
  <si>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</si>
  <si>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</si>
  <si>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</si>
  <si>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</si>
  <si>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</si>
  <si>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</si>
  <si>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</si>
  <si>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</si>
  <si>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</si>
  <si>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</si>
  <si>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</si>
  <si>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</si>
  <si>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</si>
  <si>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</si>
  <si>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</si>
  <si>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</si>
  <si>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</si>
  <si>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</si>
  <si>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</si>
  <si>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</si>
  <si>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</si>
  <si>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</si>
  <si>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</si>
  <si>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</si>
  <si>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</si>
  <si>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</si>
  <si>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</si>
  <si>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</si>
  <si>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</si>
  <si>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</si>
  <si>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</si>
  <si>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</si>
  <si>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</si>
  <si>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</si>
  <si>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</si>
  <si>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</si>
  <si>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</si>
  <si>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</si>
  <si>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</si>
  <si>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</si>
  <si>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</si>
  <si>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</si>
  <si>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</si>
  <si>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</si>
  <si>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</si>
  <si>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</si>
  <si>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</si>
  <si>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</si>
  <si>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</si>
  <si>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</si>
  <si>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</si>
  <si>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</si>
  <si>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</si>
  <si>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</si>
  <si>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</si>
  <si>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</si>
  <si>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</si>
  <si>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</si>
  <si>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</si>
  <si>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</si>
  <si>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</si>
  <si>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</si>
  <si>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</si>
  <si>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</si>
  <si>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</si>
  <si>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</si>
  <si>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</si>
  <si>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</si>
  <si>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</si>
  <si>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</si>
  <si>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</si>
  <si>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</si>
  <si>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</si>
  <si>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</si>
  <si>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</si>
  <si>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</si>
  <si>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</si>
  <si>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</si>
  <si>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</si>
  <si>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</si>
  <si>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</si>
  <si>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</si>
  <si>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</si>
  <si>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</si>
  <si>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</si>
  <si>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</si>
  <si>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</si>
  <si>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</si>
  <si>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</si>
  <si>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</si>
  <si>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</si>
  <si>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</si>
  <si>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</si>
  <si>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</si>
  <si>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</si>
  <si>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</si>
  <si>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</si>
  <si>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</si>
  <si>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</si>
  <si>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</si>
  <si>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</si>
  <si>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</si>
  <si>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</si>
  <si>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</si>
  <si>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</si>
  <si>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</si>
  <si>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</si>
  <si>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</si>
  <si>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</si>
  <si>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</si>
  <si>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</si>
  <si>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</si>
  <si>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</si>
  <si>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</si>
  <si>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</si>
  <si>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</si>
  <si>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</si>
  <si>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</si>
  <si>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</si>
  <si>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</si>
  <si>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</si>
  <si>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</si>
  <si>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</si>
  <si>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</si>
  <si>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</si>
  <si>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</si>
  <si>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</si>
  <si>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</si>
  <si>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</si>
  <si>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</si>
  <si>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</si>
  <si>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</si>
  <si>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</si>
  <si>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</si>
  <si>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</si>
  <si>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</si>
  <si>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</si>
  <si>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</si>
  <si>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</si>
  <si>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</si>
  <si>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</si>
  <si>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</si>
  <si>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</si>
  <si>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</si>
  <si>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</si>
  <si>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</si>
  <si>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</si>
  <si>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</si>
  <si>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</si>
  <si>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</si>
  <si>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</si>
  <si>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</si>
  <si>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</si>
  <si>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</si>
  <si>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</si>
  <si>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</si>
  <si>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</si>
  <si>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</si>
  <si>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</si>
  <si>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</si>
  <si>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</si>
  <si>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</si>
  <si>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</si>
  <si>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</si>
  <si>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</si>
  <si>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</si>
  <si>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</si>
  <si>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</si>
  <si>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</si>
  <si>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</si>
  <si>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</si>
  <si>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</si>
  <si>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</si>
  <si>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</si>
  <si>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</si>
  <si>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</si>
  <si>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</si>
  <si>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</si>
  <si>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</si>
  <si>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</si>
  <si>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</si>
  <si>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</si>
  <si>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</si>
  <si>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</si>
  <si>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</si>
  <si>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</si>
  <si>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</si>
  <si>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</si>
  <si>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</si>
  <si>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</si>
  <si>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</si>
  <si>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</si>
  <si>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</si>
  <si>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</si>
  <si>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</si>
  <si>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</si>
  <si>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</si>
  <si>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</si>
  <si>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</si>
  <si>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</si>
  <si>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</si>
  <si>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</si>
  <si>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</si>
  <si>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</si>
  <si>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</si>
  <si>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</si>
  <si>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</si>
  <si>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</si>
  <si>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</si>
  <si>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</si>
  <si>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</si>
  <si>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</si>
  <si>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</si>
  <si>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</si>
  <si>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</si>
  <si>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</si>
  <si>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</si>
  <si>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</si>
  <si>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</si>
  <si>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</si>
  <si>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</si>
  <si>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</si>
  <si>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</si>
  <si>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</si>
  <si>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</si>
  <si>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</si>
  <si>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</si>
  <si>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</si>
  <si>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</si>
  <si>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</si>
  <si>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</si>
  <si>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</si>
  <si>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</si>
  <si>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</si>
  <si>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</si>
  <si>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</si>
  <si>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</si>
  <si>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</si>
  <si>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</si>
  <si>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</si>
  <si>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</si>
  <si>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</si>
  <si>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</si>
  <si>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</si>
  <si>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</si>
  <si>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</si>
  <si>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</si>
  <si>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</si>
  <si>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</si>
  <si>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</si>
  <si>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</si>
  <si>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</si>
  <si>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</si>
  <si>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</si>
  <si>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</si>
  <si>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</si>
  <si>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</si>
  <si>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</si>
  <si>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</si>
  <si>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</si>
  <si>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</si>
  <si>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</si>
  <si>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</si>
  <si>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</si>
  <si>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</si>
  <si>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</si>
  <si>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</si>
  <si>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</si>
  <si>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</si>
  <si>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</si>
  <si>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</si>
  <si>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</si>
  <si>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</si>
  <si>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</si>
  <si>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</si>
  <si>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</si>
  <si>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</si>
  <si>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</si>
  <si>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</si>
  <si>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</si>
  <si>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</si>
  <si>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</si>
  <si>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</si>
  <si>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</si>
  <si>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</si>
  <si>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</si>
  <si>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</si>
  <si>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</si>
  <si>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</si>
  <si>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</si>
  <si>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</si>
  <si>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</si>
  <si>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</si>
  <si>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</si>
  <si>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</si>
  <si>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</si>
  <si>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</si>
  <si>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</si>
  <si>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</si>
  <si>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</si>
  <si>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</si>
  <si>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</si>
  <si>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</si>
  <si>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</si>
  <si>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</si>
  <si>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</si>
  <si>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</si>
  <si>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</si>
  <si>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</si>
  <si>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</si>
  <si>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</si>
  <si>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</si>
  <si>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</si>
  <si>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</si>
  <si>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</si>
  <si>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</si>
  <si>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</si>
  <si>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</si>
  <si>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</si>
  <si>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</si>
  <si>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</si>
  <si>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</si>
  <si>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</si>
  <si>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</si>
  <si>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</si>
  <si>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</si>
  <si>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</si>
  <si>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</si>
  <si>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</si>
  <si>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</si>
  <si>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</si>
  <si>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</si>
  <si>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</si>
  <si>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</si>
  <si>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</si>
  <si>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</si>
  <si>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</si>
  <si>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</si>
  <si>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</si>
  <si>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</si>
  <si>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</si>
  <si>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</si>
  <si>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</si>
  <si>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</si>
  <si>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</si>
  <si>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</si>
  <si>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</si>
  <si>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</si>
  <si>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</si>
  <si>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</si>
  <si>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</si>
  <si>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</si>
  <si>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</si>
  <si>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</si>
  <si>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</si>
  <si>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</si>
  <si>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</si>
  <si>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</si>
  <si>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</si>
  <si>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</si>
  <si>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</si>
  <si>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</si>
  <si>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</si>
  <si>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</si>
  <si>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</si>
  <si>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</si>
  <si>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</si>
  <si>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</si>
  <si>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</si>
  <si>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</si>
  <si>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</si>
  <si>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</si>
  <si>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</si>
  <si>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</si>
  <si>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</si>
  <si>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</si>
  <si>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</si>
  <si>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</si>
  <si>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</si>
  <si>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</si>
  <si>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</si>
  <si>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</si>
  <si>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</si>
  <si>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</si>
  <si>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</si>
  <si>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</si>
  <si>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</si>
  <si>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</si>
  <si>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</si>
  <si>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</si>
  <si>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</si>
  <si>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</si>
  <si>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</si>
  <si>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</si>
  <si>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</si>
  <si>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</si>
  <si>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</si>
  <si>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</si>
  <si>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</si>
  <si>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</si>
  <si>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</si>
  <si>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</si>
  <si>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</si>
  <si>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</si>
  <si>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</si>
  <si>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</si>
  <si>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</si>
  <si>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</si>
  <si>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</si>
  <si>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</si>
  <si>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</si>
  <si>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</si>
  <si>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</si>
  <si>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</si>
  <si>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</si>
  <si>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</si>
  <si>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</si>
  <si>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</si>
  <si>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</si>
  <si>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</si>
  <si>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</si>
  <si>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</si>
  <si>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</si>
  <si>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</si>
  <si>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</si>
  <si>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</si>
  <si>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</si>
  <si>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</si>
  <si>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</si>
  <si>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</si>
  <si>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</si>
  <si>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</si>
  <si>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</si>
  <si>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</si>
  <si>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</si>
  <si>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</si>
  <si>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</si>
  <si>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</si>
  <si>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</si>
  <si>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</si>
  <si>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</si>
  <si>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</si>
  <si>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</si>
  <si>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</si>
  <si>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</si>
  <si>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</si>
  <si>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</si>
  <si>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</si>
  <si>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</si>
  <si>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</si>
  <si>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</si>
  <si>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</si>
  <si>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</si>
  <si>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</si>
  <si>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</si>
  <si>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</si>
  <si>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</si>
  <si>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</si>
  <si>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</si>
  <si>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</si>
  <si>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</si>
  <si>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</si>
  <si>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</si>
  <si>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</si>
  <si>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</si>
  <si>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</si>
  <si>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</si>
  <si>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</si>
  <si>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</si>
  <si>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</si>
  <si>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</si>
  <si>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</si>
  <si>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</si>
  <si>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</si>
  <si>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</si>
  <si>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</si>
  <si>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</si>
  <si>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</si>
  <si>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</si>
  <si>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</si>
  <si>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</si>
  <si>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</si>
  <si>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</si>
  <si>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</si>
  <si>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</si>
  <si>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</si>
  <si>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</si>
  <si>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</si>
  <si>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</si>
  <si>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</si>
  <si>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</si>
  <si>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</si>
  <si>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</si>
  <si>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</si>
  <si>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</si>
  <si>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</si>
  <si>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</si>
  <si>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</si>
  <si>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</si>
  <si>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</si>
  <si>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</si>
  <si>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</si>
  <si>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</si>
  <si>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</si>
  <si>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</si>
  <si>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</si>
  <si>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</si>
  <si>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</si>
  <si>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</si>
  <si>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</si>
  <si>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</si>
  <si>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</si>
  <si>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</si>
  <si>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</si>
  <si>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</si>
  <si>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</si>
  <si>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</si>
  <si>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</si>
  <si>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</si>
  <si>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</si>
  <si>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</si>
  <si>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</si>
  <si>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</si>
  <si>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</si>
  <si>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</si>
  <si>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</si>
  <si>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</si>
  <si>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</si>
  <si>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</si>
  <si>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</si>
  <si>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</si>
  <si>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</si>
  <si>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</si>
  <si>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</si>
  <si>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</si>
  <si>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</si>
  <si>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</si>
  <si>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</si>
  <si>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</si>
  <si>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</si>
  <si>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</si>
  <si>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</si>
  <si>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</si>
  <si>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</si>
  <si>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</si>
  <si>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</si>
  <si>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</si>
  <si>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</si>
  <si>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</si>
  <si>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</si>
  <si>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</si>
  <si>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</si>
  <si>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</si>
  <si>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</si>
  <si>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</si>
  <si>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</si>
  <si>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</si>
  <si>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</si>
  <si>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</si>
  <si>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</si>
  <si>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</si>
  <si>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</si>
  <si>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</si>
  <si>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</si>
  <si>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</si>
  <si>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</si>
  <si>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</si>
  <si>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</si>
  <si>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</si>
  <si>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</si>
  <si>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</si>
  <si>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</si>
  <si>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</si>
  <si>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</si>
  <si>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</si>
  <si>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</si>
  <si>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</si>
  <si>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</si>
  <si>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</si>
  <si>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</si>
  <si>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</si>
  <si>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</si>
  <si>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</si>
  <si>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</si>
  <si>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</si>
  <si>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</si>
  <si>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</si>
  <si>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</si>
  <si>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</si>
  <si>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</si>
  <si>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</si>
  <si>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</si>
  <si>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</si>
  <si>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</si>
  <si>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</si>
  <si>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</si>
  <si>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</si>
  <si>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</si>
  <si>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</si>
  <si>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</si>
  <si>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</si>
  <si>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</si>
  <si>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</si>
  <si>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</si>
  <si>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</si>
  <si>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</si>
  <si>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</si>
  <si>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</si>
  <si>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</si>
  <si>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</si>
  <si>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</si>
  <si>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</si>
  <si>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</si>
  <si>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</si>
  <si>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</si>
  <si>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</si>
  <si>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</si>
  <si>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</si>
  <si>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</si>
  <si>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</si>
  <si>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</si>
  <si>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</si>
  <si>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</si>
  <si>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</si>
  <si>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</si>
  <si>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</si>
  <si>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</si>
  <si>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</si>
  <si>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</si>
  <si>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</si>
  <si>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</si>
  <si>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</si>
  <si>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</si>
  <si>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</si>
  <si>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</si>
  <si>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</si>
  <si>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</si>
  <si>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</si>
  <si>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</si>
  <si>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</si>
  <si>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</si>
  <si>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</si>
  <si>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</si>
  <si>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</si>
  <si>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</si>
  <si>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</si>
  <si>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</si>
  <si>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</si>
  <si>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</si>
  <si>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</si>
  <si>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</si>
  <si>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</si>
  <si>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</si>
  <si>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</si>
  <si>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</si>
  <si>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</si>
  <si>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</si>
  <si>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</si>
  <si>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</si>
  <si>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</si>
  <si>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</si>
  <si>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</si>
  <si>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</si>
  <si>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</si>
  <si>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</si>
  <si>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</si>
  <si>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</si>
  <si>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</si>
  <si>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</si>
  <si>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</si>
  <si>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</si>
  <si>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</si>
  <si>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</si>
  <si>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</si>
  <si>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</si>
  <si>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</si>
  <si>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</si>
  <si>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</si>
  <si>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</si>
  <si>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</si>
  <si>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</si>
  <si>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</si>
  <si>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</si>
  <si>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</si>
  <si>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</si>
  <si>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</si>
  <si>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</si>
  <si>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</si>
  <si>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</si>
  <si>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</si>
  <si>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</si>
  <si>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</si>
  <si>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</si>
  <si>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</si>
  <si>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</si>
  <si>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</si>
  <si>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</si>
  <si>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</si>
  <si>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</si>
  <si>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</si>
  <si>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</si>
  <si>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</si>
  <si>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</si>
  <si>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</si>
  <si>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</si>
  <si>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</si>
  <si>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</si>
  <si>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</si>
  <si>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</si>
  <si>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</si>
  <si>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</si>
  <si>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</si>
  <si>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</si>
  <si>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</si>
  <si>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</si>
  <si>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</si>
  <si>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</si>
  <si>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</si>
  <si>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</si>
  <si>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</si>
  <si>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</si>
  <si>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</si>
  <si>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</si>
  <si>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</si>
  <si>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</si>
  <si>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</si>
  <si>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</si>
  <si>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</si>
  <si>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</si>
  <si>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</si>
  <si>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</si>
  <si>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</si>
  <si>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</si>
  <si>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</si>
  <si>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</si>
  <si>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</si>
  <si>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</si>
  <si>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</si>
  <si>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</si>
  <si>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</si>
  <si>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</si>
  <si>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</si>
  <si>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</si>
  <si>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</si>
  <si>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</si>
  <si>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</si>
  <si>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</si>
  <si>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</si>
  <si>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</si>
  <si>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</si>
  <si>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</si>
  <si>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</si>
  <si>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</si>
  <si>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</si>
  <si>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</si>
  <si>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</si>
  <si>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</si>
  <si>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</si>
  <si>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</si>
  <si>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</si>
  <si>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</si>
  <si>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</si>
  <si>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</si>
  <si>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</si>
  <si>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</si>
  <si>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</si>
  <si>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</si>
  <si>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</si>
  <si>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</si>
  <si>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</si>
  <si>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</si>
  <si>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</si>
  <si>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</si>
  <si>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</si>
  <si>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</si>
  <si>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</si>
  <si>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</si>
  <si>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</si>
  <si>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</si>
  <si>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</si>
  <si>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</si>
  <si>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</si>
  <si>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</si>
  <si>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</si>
  <si>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</si>
  <si>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</si>
  <si>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</si>
  <si>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</si>
  <si>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</si>
  <si>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</si>
  <si>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</si>
  <si>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</si>
  <si>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</si>
  <si>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</si>
  <si>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</si>
  <si>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</si>
  <si>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</si>
  <si>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</si>
  <si>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</si>
  <si>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</si>
  <si>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</si>
  <si>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</si>
  <si>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</si>
  <si>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</si>
  <si>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</si>
  <si>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</si>
  <si>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</si>
  <si>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</si>
  <si>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</si>
  <si>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</si>
  <si>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</si>
  <si>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</si>
  <si>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</si>
  <si>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</si>
  <si>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</si>
  <si>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</si>
  <si>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</si>
  <si>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</si>
  <si>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</si>
  <si>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</si>
  <si>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</si>
  <si>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</si>
  <si>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</si>
  <si>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</si>
  <si>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</si>
  <si>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</si>
  <si>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</si>
  <si>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</si>
  <si>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</si>
  <si>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</si>
  <si>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</si>
  <si>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</si>
  <si>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</si>
  <si>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</si>
  <si>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</si>
  <si>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</si>
  <si>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</si>
  <si>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</si>
  <si>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</si>
  <si>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</si>
  <si>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</si>
  <si>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</si>
  <si>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</si>
  <si>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</si>
  <si>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</si>
  <si>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</si>
  <si>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</si>
  <si>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</si>
  <si>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</si>
  <si>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</si>
  <si>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</si>
  <si>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</si>
  <si>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</si>
  <si>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</si>
  <si>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</si>
  <si>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</si>
  <si>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</si>
  <si>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</si>
  <si>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</si>
  <si>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</si>
  <si>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</si>
  <si>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</si>
  <si>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</si>
  <si>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</si>
  <si>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</si>
  <si>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</si>
  <si>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</si>
  <si>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</si>
  <si>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</si>
  <si>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</si>
  <si>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</si>
  <si>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</si>
  <si>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</si>
  <si>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</si>
  <si>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</si>
  <si>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</si>
  <si>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</si>
  <si>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</si>
  <si>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</si>
  <si>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</si>
  <si>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</si>
  <si>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</si>
  <si>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</si>
  <si>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</si>
  <si>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</si>
  <si>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</si>
  <si>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</si>
  <si>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</si>
  <si>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</si>
  <si>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</si>
  <si>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</si>
  <si>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</si>
  <si>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</si>
  <si>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</si>
  <si>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</si>
  <si>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</si>
  <si>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</si>
  <si>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</si>
  <si>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</si>
  <si>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</si>
  <si>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</si>
  <si>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</si>
  <si>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</si>
  <si>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</si>
  <si>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</si>
  <si>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</si>
  <si>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</si>
  <si>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</si>
  <si>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</si>
  <si>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</si>
  <si>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</si>
  <si>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</si>
  <si>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</si>
  <si>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</si>
  <si>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</si>
  <si>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</si>
  <si>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</si>
  <si>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</si>
  <si>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</si>
  <si>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</si>
  <si>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</si>
  <si>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</si>
  <si>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</si>
  <si>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</si>
  <si>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</si>
  <si>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</si>
  <si>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</si>
  <si>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</si>
  <si>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</si>
  <si>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</si>
  <si>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</si>
  <si>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</si>
  <si>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</si>
  <si>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</si>
  <si>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</si>
  <si>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</si>
  <si>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</si>
  <si>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</si>
  <si>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</si>
  <si>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</si>
  <si>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</si>
  <si>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</si>
  <si>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</si>
  <si>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</si>
  <si>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</si>
  <si>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</si>
  <si>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</si>
  <si>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</si>
  <si>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</si>
  <si>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</si>
  <si>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</si>
  <si>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</si>
  <si>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</si>
  <si>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</si>
  <si>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</si>
  <si>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</si>
  <si>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</si>
  <si>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</si>
  <si>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</si>
  <si>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</si>
  <si>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</si>
  <si>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</si>
  <si>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</si>
  <si>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</si>
  <si>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</si>
  <si>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</si>
  <si>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</si>
  <si>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</si>
  <si>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</si>
  <si>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</si>
  <si>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</si>
  <si>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</si>
  <si>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</si>
  <si>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</si>
  <si>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</si>
  <si>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</si>
  <si>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</si>
  <si>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</si>
  <si>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</si>
  <si>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</si>
  <si>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</si>
  <si>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</si>
  <si>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</si>
  <si>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</si>
  <si>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</si>
  <si>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</si>
  <si>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</si>
  <si>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</si>
  <si>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</si>
  <si>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</si>
  <si>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</si>
  <si>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</si>
  <si>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</si>
  <si>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</si>
  <si>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</si>
  <si>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</si>
  <si>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</si>
  <si>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</si>
  <si>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</si>
  <si>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</si>
  <si>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</si>
  <si>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</si>
  <si>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</si>
  <si>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</si>
  <si>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</si>
  <si>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</si>
  <si>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</si>
  <si>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</si>
  <si>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</si>
  <si>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</si>
  <si>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</si>
  <si>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</si>
  <si>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</si>
  <si>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</si>
  <si>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</si>
  <si>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</si>
  <si>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</si>
  <si>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</si>
  <si>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</si>
  <si>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</si>
  <si>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</si>
  <si>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</si>
  <si>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</si>
  <si>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</si>
  <si>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</si>
  <si>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</si>
  <si>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</si>
  <si>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</si>
  <si>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</si>
  <si>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</si>
  <si>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</si>
  <si>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</si>
  <si>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</si>
  <si>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</si>
  <si>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</si>
  <si>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</si>
  <si>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</si>
  <si>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</si>
  <si>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</si>
  <si>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</si>
  <si>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</si>
  <si>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</si>
  <si>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</si>
  <si>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</si>
  <si>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</si>
  <si>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</si>
  <si>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</si>
  <si>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</si>
  <si>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</si>
  <si>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</si>
  <si>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</si>
  <si>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</si>
  <si>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</si>
  <si>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</si>
  <si>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</si>
  <si>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</si>
  <si>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</si>
  <si>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</si>
  <si>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</si>
  <si>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</si>
  <si>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</si>
  <si>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</si>
  <si>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</si>
  <si>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</si>
  <si>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</si>
  <si>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</si>
  <si>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</si>
  <si>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</si>
  <si>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</si>
  <si>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</si>
  <si>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</si>
  <si>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</si>
  <si>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</si>
  <si>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</si>
  <si>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</si>
  <si>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</si>
  <si>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</si>
  <si>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</si>
  <si>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</si>
  <si>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</si>
  <si>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</si>
  <si>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</si>
  <si>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</si>
  <si>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</si>
  <si>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</si>
  <si>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</si>
  <si>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</si>
  <si>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</si>
  <si>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</si>
  <si>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</si>
  <si>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</si>
  <si>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</si>
  <si>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</si>
  <si>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</si>
  <si>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</si>
  <si>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</si>
  <si>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</si>
  <si>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</si>
  <si>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</si>
  <si>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</si>
  <si>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</si>
  <si>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</si>
  <si>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</si>
  <si>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</si>
  <si>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</si>
  <si>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</si>
  <si>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</si>
  <si>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</si>
  <si>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</si>
  <si>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</si>
  <si>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</si>
  <si>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</si>
  <si>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</si>
  <si>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</si>
  <si>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</si>
  <si>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</si>
  <si>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</si>
  <si>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</si>
  <si>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</si>
  <si>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</si>
  <si>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</si>
  <si>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</si>
  <si>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</si>
  <si>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</si>
  <si>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</si>
  <si>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</si>
  <si>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</si>
  <si>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</si>
  <si>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</si>
  <si>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</si>
  <si>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</si>
  <si>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</si>
  <si>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</si>
  <si>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</si>
  <si>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</si>
  <si>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</si>
  <si>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</si>
  <si>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</si>
  <si>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</si>
  <si>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</si>
  <si>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</si>
  <si>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</si>
  <si>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</si>
  <si>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</si>
  <si>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</si>
  <si>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</si>
  <si>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</si>
  <si>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</si>
  <si>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</si>
  <si>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</si>
  <si>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</si>
  <si>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</si>
  <si>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</si>
  <si>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</si>
  <si>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</si>
  <si>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</si>
  <si>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</si>
  <si>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</si>
  <si>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</si>
  <si>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</si>
  <si>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</si>
  <si>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</si>
  <si>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</si>
  <si>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</si>
  <si>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</si>
  <si>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</si>
  <si>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</si>
  <si>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</si>
  <si>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</si>
  <si>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</si>
  <si>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</si>
  <si>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</si>
  <si>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</si>
  <si>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</si>
  <si>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</si>
  <si>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</si>
  <si>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</si>
  <si>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</si>
  <si>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</si>
  <si>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</si>
  <si>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</si>
  <si>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</si>
  <si>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</si>
  <si>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</si>
  <si>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</si>
  <si>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</si>
  <si>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</si>
  <si>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</si>
  <si>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</si>
  <si>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</si>
  <si>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</si>
  <si>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</si>
  <si>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</si>
  <si>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</si>
  <si>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</si>
  <si>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</si>
  <si>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</si>
  <si>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</si>
  <si>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</si>
  <si>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</si>
  <si>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</si>
  <si>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</si>
  <si>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</si>
  <si>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</si>
  <si>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</si>
  <si>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</si>
  <si>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</si>
  <si>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</si>
  <si>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</si>
  <si>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</si>
  <si>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</si>
  <si>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</si>
  <si>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</si>
  <si>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</si>
  <si>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</si>
  <si>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</si>
  <si>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</si>
  <si>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</si>
  <si>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</si>
  <si>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</si>
  <si>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</si>
  <si>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</si>
  <si>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</si>
  <si>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</si>
  <si>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</si>
  <si>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</si>
  <si>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</si>
  <si>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</si>
  <si>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</si>
  <si>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</si>
  <si>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</si>
  <si>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</si>
  <si>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</si>
  <si>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</si>
  <si>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</si>
  <si>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</si>
  <si>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</si>
  <si>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</si>
  <si>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</si>
  <si>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</si>
  <si>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</si>
  <si>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</si>
  <si>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</si>
  <si>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</si>
  <si>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</si>
  <si>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</si>
  <si>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</si>
  <si>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</si>
  <si>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</si>
  <si>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</si>
  <si>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</si>
  <si>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</si>
  <si>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</si>
  <si>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</si>
  <si>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</si>
  <si>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</si>
  <si>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</si>
  <si>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</si>
  <si>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</si>
  <si>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</si>
  <si>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</si>
  <si>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</si>
  <si>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</si>
  <si>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</si>
  <si>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</si>
  <si>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</si>
  <si>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</si>
  <si>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</si>
  <si>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</si>
  <si>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</si>
  <si>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</si>
  <si>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</si>
  <si>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</si>
  <si>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</si>
  <si>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</si>
  <si>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</si>
  <si>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</si>
  <si>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</si>
  <si>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</si>
  <si>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</si>
  <si>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</si>
  <si>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</si>
  <si>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</si>
  <si>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</si>
  <si>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</si>
  <si>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</si>
  <si>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</si>
  <si>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</si>
  <si>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</si>
  <si>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</si>
  <si>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</si>
  <si>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</si>
  <si>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</si>
  <si>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</si>
  <si>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</si>
  <si>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</si>
  <si>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</si>
  <si>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</si>
  <si>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</si>
  <si>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</si>
  <si>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</si>
  <si>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</si>
  <si>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</si>
  <si>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</si>
  <si>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</si>
  <si>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</si>
  <si>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</si>
  <si>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</si>
  <si>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</si>
  <si>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</si>
  <si>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</si>
  <si>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</si>
  <si>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</si>
  <si>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</si>
  <si>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</si>
  <si>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</si>
  <si>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</si>
  <si>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</si>
  <si>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</si>
  <si>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</si>
  <si>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</si>
  <si>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</si>
  <si>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</si>
  <si>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</si>
  <si>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</si>
  <si>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</si>
  <si>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</si>
  <si>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</si>
  <si>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</si>
  <si>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</si>
  <si>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</si>
  <si>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</si>
  <si>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</si>
  <si>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</si>
  <si>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</si>
  <si>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</si>
  <si>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</si>
  <si>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</si>
  <si>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</si>
  <si>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</si>
  <si>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</si>
  <si>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</si>
  <si>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</si>
  <si>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</si>
  <si>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</si>
  <si>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</si>
  <si>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</si>
  <si>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</si>
  <si>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</si>
  <si>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</si>
  <si>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</si>
  <si>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</si>
  <si>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</si>
  <si>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</si>
  <si>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</si>
  <si>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</si>
  <si>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</si>
  <si>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</si>
  <si>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</si>
  <si>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</si>
  <si>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</si>
  <si>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</si>
  <si>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</si>
  <si>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</si>
  <si>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</si>
  <si>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</si>
  <si>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</si>
  <si>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</si>
  <si>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</si>
  <si>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</si>
  <si>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</si>
  <si>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</si>
  <si>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</si>
  <si>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</si>
  <si>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</si>
  <si>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</si>
  <si>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</si>
  <si>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</si>
  <si>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</si>
  <si>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</si>
  <si>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</si>
  <si>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</si>
  <si>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</si>
  <si>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</si>
  <si>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</si>
  <si>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</si>
  <si>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</si>
  <si>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</si>
  <si>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</si>
  <si>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</si>
  <si>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</si>
  <si>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</si>
  <si>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</si>
  <si>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</si>
  <si>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</si>
  <si>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</si>
  <si>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</si>
  <si>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</si>
  <si>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</si>
  <si>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</si>
  <si>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</si>
  <si>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</si>
  <si>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</si>
  <si>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</si>
  <si>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</si>
  <si>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</si>
  <si>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</si>
  <si>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</si>
  <si>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</si>
  <si>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</si>
  <si>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</si>
  <si>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</si>
  <si>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</si>
  <si>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</si>
  <si>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</si>
  <si>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</si>
  <si>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</si>
  <si>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</si>
  <si>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</si>
  <si>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</si>
  <si>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</si>
  <si>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</si>
  <si>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</si>
  <si>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</si>
  <si>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</si>
  <si>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</si>
  <si>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</si>
  <si>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</si>
  <si>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</si>
  <si>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</si>
  <si>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</si>
  <si>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</si>
  <si>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</si>
  <si>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</si>
  <si>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</si>
  <si>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</si>
  <si>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</si>
  <si>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</si>
  <si>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</si>
  <si>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</si>
  <si>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</si>
  <si>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</si>
  <si>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</si>
  <si>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</si>
  <si>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</si>
  <si>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</si>
  <si>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</si>
  <si>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</si>
  <si>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</si>
  <si>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</si>
  <si>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</si>
  <si>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</si>
  <si>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</si>
  <si>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</si>
  <si>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</si>
  <si>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</si>
  <si>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</si>
  <si>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</si>
  <si>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</si>
  <si>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</si>
  <si>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</si>
  <si>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</si>
  <si>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</si>
  <si>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</si>
  <si>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</si>
  <si>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</si>
  <si>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</si>
  <si>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</si>
  <si>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</si>
  <si>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</si>
  <si>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</si>
  <si>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</si>
  <si>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</si>
  <si>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</si>
  <si>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</si>
  <si>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</si>
  <si>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</si>
  <si>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</si>
  <si>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</si>
  <si>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</si>
  <si>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</si>
  <si>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</si>
  <si>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</si>
  <si>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</si>
  <si>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</si>
  <si>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</si>
  <si>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</si>
  <si>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</si>
  <si>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</si>
  <si>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</si>
  <si>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</si>
  <si>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</si>
  <si>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</si>
  <si>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</si>
  <si>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</si>
  <si>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</si>
  <si>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</si>
  <si>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</si>
  <si>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</si>
  <si>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</si>
  <si>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</si>
  <si>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</si>
  <si>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</si>
  <si>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</si>
  <si>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</si>
  <si>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</si>
  <si>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</si>
  <si>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</si>
  <si>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</si>
  <si>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</si>
  <si>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</si>
  <si>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</si>
  <si>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</si>
  <si>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</si>
  <si>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</si>
  <si>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</si>
  <si>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</si>
  <si>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</si>
  <si>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</si>
  <si>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</si>
  <si>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</si>
  <si>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</si>
  <si>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</si>
  <si>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</si>
  <si>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</si>
  <si>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</si>
  <si>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</si>
  <si>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</si>
  <si>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</si>
  <si>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</si>
  <si>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</si>
  <si>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</si>
  <si>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</si>
  <si>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</si>
  <si>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</si>
  <si>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</si>
  <si>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</si>
  <si>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</si>
  <si>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</si>
  <si>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</si>
  <si>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</si>
  <si>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</si>
  <si>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</si>
  <si>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</si>
  <si>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</si>
  <si>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</si>
  <si>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</si>
  <si>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</si>
  <si>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</si>
  <si>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</si>
  <si>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</si>
  <si>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</si>
  <si>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</si>
  <si>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</si>
  <si>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</si>
  <si>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</si>
  <si>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</si>
  <si>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</si>
  <si>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</si>
  <si>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</si>
  <si>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</si>
  <si>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</si>
  <si>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</si>
  <si>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</si>
  <si>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</si>
  <si>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</si>
  <si>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</si>
  <si>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</si>
  <si>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</si>
  <si>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</si>
  <si>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</si>
  <si>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</si>
  <si>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</si>
  <si>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</si>
  <si>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</si>
  <si>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</si>
  <si>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</si>
  <si>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</si>
  <si>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</si>
  <si>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</si>
  <si>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</si>
  <si>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</si>
  <si>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</si>
  <si>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</si>
  <si>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</si>
  <si>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</si>
  <si>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</si>
  <si>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</si>
  <si>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</si>
  <si>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</si>
  <si>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</si>
  <si>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</si>
  <si>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</si>
  <si>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</si>
  <si>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</si>
  <si>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</si>
  <si>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</si>
  <si>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</si>
  <si>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</si>
  <si>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</si>
  <si>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</si>
  <si>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</si>
  <si>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</si>
  <si>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</si>
  <si>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</si>
  <si>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</si>
  <si>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</si>
  <si>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</si>
  <si>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</si>
  <si>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</si>
  <si>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</si>
  <si>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</si>
  <si>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</si>
  <si>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</si>
  <si>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</si>
  <si>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</si>
  <si>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</si>
  <si>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</si>
  <si>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</si>
  <si>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</si>
  <si>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</si>
  <si>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</si>
  <si>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</si>
  <si>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</si>
  <si>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</si>
  <si>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</si>
  <si>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</si>
  <si>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</si>
  <si>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</si>
  <si>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</si>
  <si>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</si>
  <si>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</si>
  <si>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</si>
  <si>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</si>
  <si>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</si>
  <si>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</si>
  <si>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</si>
  <si>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</si>
  <si>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</si>
  <si>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</si>
  <si>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</si>
  <si>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</si>
  <si>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</si>
  <si>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</si>
  <si>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</si>
  <si>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</si>
  <si>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</si>
  <si>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</si>
  <si>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</si>
  <si>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</si>
  <si>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</si>
  <si>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</si>
  <si>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</si>
  <si>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</si>
  <si>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</si>
  <si>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</si>
  <si>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</si>
  <si>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</si>
  <si>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</si>
  <si>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</si>
  <si>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</si>
  <si>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</si>
  <si>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</si>
  <si>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</si>
  <si>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</si>
  <si>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</si>
  <si>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</si>
  <si>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</si>
  <si>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</si>
  <si>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</si>
  <si>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</si>
  <si>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</si>
  <si>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</si>
  <si>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</si>
  <si>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</si>
  <si>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</si>
  <si>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</si>
  <si>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</si>
  <si>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</si>
  <si>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</si>
  <si>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</si>
  <si>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</si>
  <si>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</si>
  <si>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</si>
  <si>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</si>
  <si>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</si>
  <si>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</si>
  <si>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</si>
  <si>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</si>
  <si>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</si>
  <si>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</si>
  <si>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</si>
  <si>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</si>
  <si>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</si>
  <si>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</si>
  <si>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</si>
  <si>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</si>
  <si>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</si>
  <si>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</si>
  <si>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</si>
  <si>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</si>
  <si>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</si>
  <si>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</si>
  <si>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</si>
  <si>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</si>
  <si>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</si>
  <si>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</si>
  <si>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</si>
  <si>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</si>
  <si>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</si>
  <si>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</si>
  <si>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</si>
  <si>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</si>
  <si>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</si>
  <si>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</si>
  <si>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</si>
  <si>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</si>
  <si>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</si>
  <si>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</si>
  <si>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</si>
  <si>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</si>
  <si>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</si>
  <si>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</si>
  <si>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</si>
  <si>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</si>
  <si>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</si>
  <si>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</si>
  <si>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</si>
  <si>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</si>
  <si>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</si>
  <si>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</si>
  <si>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</si>
  <si>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</si>
  <si>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</si>
  <si>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</si>
  <si>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</si>
  <si>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</si>
  <si>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</si>
  <si>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</si>
  <si>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</si>
  <si>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</si>
  <si>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</si>
  <si>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</si>
  <si>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</si>
  <si>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</si>
  <si>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</si>
  <si>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</si>
  <si>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</si>
  <si>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</si>
  <si>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</si>
  <si>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</si>
  <si>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</si>
  <si>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</si>
  <si>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</si>
  <si>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</si>
  <si>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</si>
  <si>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</si>
  <si>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</si>
  <si>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</si>
  <si>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</si>
  <si>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</si>
  <si>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</si>
  <si>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</si>
  <si>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</si>
  <si>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</si>
  <si>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</si>
  <si>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</si>
  <si>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</si>
  <si>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</si>
  <si>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</si>
  <si>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</si>
  <si>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</si>
  <si>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</si>
  <si>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</si>
  <si>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</si>
  <si>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</si>
  <si>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</si>
  <si>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</si>
  <si>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</si>
  <si>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</si>
  <si>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</si>
  <si>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</si>
  <si>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</si>
  <si>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</si>
  <si>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</si>
  <si>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</si>
  <si>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</si>
  <si>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</si>
  <si>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</si>
  <si>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</si>
  <si>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</si>
  <si>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</si>
  <si>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</si>
  <si>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</si>
  <si>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</si>
  <si>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</si>
  <si>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</si>
  <si>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</si>
  <si>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</si>
  <si>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</si>
  <si>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</si>
  <si>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</si>
  <si>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</si>
  <si>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</si>
  <si>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</si>
  <si>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</si>
  <si>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</si>
  <si>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</si>
  <si>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</si>
  <si>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</si>
  <si>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</si>
  <si>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</si>
  <si>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</si>
  <si>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</si>
  <si>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</si>
  <si>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</si>
  <si>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</si>
  <si>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</si>
  <si>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</si>
  <si>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</si>
  <si>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</si>
  <si>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</si>
  <si>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</si>
  <si>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</si>
  <si>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</si>
  <si>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</si>
  <si>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</si>
  <si>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</si>
  <si>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</si>
  <si>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</si>
  <si>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</si>
  <si>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</si>
  <si>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</si>
  <si>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</si>
  <si>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</si>
  <si>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</si>
  <si>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</si>
  <si>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</si>
  <si>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</si>
  <si>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</si>
  <si>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</si>
  <si>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</si>
  <si>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</si>
  <si>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</si>
  <si>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</si>
  <si>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</si>
  <si>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</si>
  <si>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</si>
  <si>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</si>
  <si>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</si>
  <si>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</si>
  <si>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</si>
  <si>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</si>
  <si>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</si>
  <si>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</si>
  <si>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</si>
  <si>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</si>
  <si>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</si>
  <si>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</si>
  <si>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</si>
  <si>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</si>
  <si>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</si>
  <si>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</si>
  <si>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</si>
  <si>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</si>
  <si>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</si>
  <si>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</si>
  <si>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</si>
  <si>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</si>
  <si>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</si>
  <si>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</si>
  <si>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</si>
  <si>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</si>
  <si>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</si>
  <si>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</si>
  <si>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</si>
  <si>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</si>
  <si>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</si>
  <si>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</si>
  <si>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</si>
  <si>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</si>
  <si>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</si>
  <si>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</si>
  <si>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</si>
  <si>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</si>
  <si>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</si>
  <si>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</si>
  <si>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</si>
  <si>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</si>
  <si>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</si>
  <si>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</si>
  <si>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</si>
  <si>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</si>
  <si>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</si>
  <si>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</si>
  <si>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</si>
  <si>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</si>
  <si>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</si>
  <si>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</si>
  <si>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</si>
  <si>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</si>
  <si>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</si>
  <si>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</si>
  <si>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</si>
  <si>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</si>
  <si>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</si>
  <si>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</si>
  <si>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</si>
  <si>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</si>
  <si>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</si>
  <si>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</si>
  <si>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</si>
  <si>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</si>
  <si>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</si>
  <si>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</si>
  <si>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</si>
  <si>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</si>
  <si>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</si>
  <si>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</si>
  <si>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</si>
  <si>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</si>
  <si>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</si>
  <si>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</si>
  <si>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</si>
  <si>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</si>
  <si>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</si>
  <si>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</si>
  <si>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</si>
  <si>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</si>
  <si>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</si>
  <si>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</si>
  <si>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</si>
  <si>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</si>
  <si>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</si>
  <si>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</si>
  <si>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</si>
  <si>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</si>
  <si>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</si>
  <si>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</si>
  <si>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</si>
  <si>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</si>
  <si>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</si>
  <si>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</si>
  <si>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</si>
  <si>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</si>
  <si>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</si>
  <si>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</si>
  <si>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</si>
  <si>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</si>
  <si>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</si>
  <si>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</si>
  <si>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</si>
  <si>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</si>
  <si>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</si>
  <si>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</si>
  <si>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</si>
  <si>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</si>
  <si>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</si>
  <si>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</si>
  <si>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</si>
  <si>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</si>
  <si>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</si>
  <si>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</si>
  <si>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</si>
  <si>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</si>
  <si>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</si>
  <si>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</si>
  <si>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</si>
  <si>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</si>
  <si>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</si>
  <si>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</si>
  <si>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</si>
  <si>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</si>
  <si>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</si>
  <si>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</si>
  <si>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</si>
  <si>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</si>
  <si>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</si>
  <si>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</si>
  <si>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</si>
  <si>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</si>
  <si>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</si>
  <si>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</si>
  <si>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</si>
  <si>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</si>
  <si>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</si>
  <si>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</si>
  <si>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</si>
  <si>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</si>
  <si>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</si>
  <si>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</si>
  <si>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</si>
  <si>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</si>
  <si>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</si>
  <si>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</si>
  <si>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</si>
  <si>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</si>
  <si>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</si>
  <si>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</si>
  <si>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</si>
  <si>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</si>
  <si>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</si>
  <si>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</si>
  <si>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</si>
  <si>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</si>
  <si>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</si>
  <si>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</si>
  <si>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</si>
  <si>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</si>
  <si>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</si>
  <si>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</si>
  <si>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</si>
  <si>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</si>
  <si>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</si>
  <si>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</si>
  <si>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</si>
  <si>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</si>
  <si>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</si>
  <si>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</si>
  <si>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</si>
  <si>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</si>
  <si>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</si>
  <si>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</si>
  <si>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</si>
  <si>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</si>
  <si>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</si>
  <si>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</si>
  <si>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</si>
  <si>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</si>
  <si>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</si>
  <si>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</si>
  <si>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</si>
  <si>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</si>
  <si>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</si>
  <si>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</si>
  <si>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</si>
  <si>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</si>
  <si>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</si>
  <si>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</si>
  <si>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</si>
  <si>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</si>
  <si>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</si>
  <si>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</si>
  <si>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</si>
  <si>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</si>
  <si>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</si>
  <si>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</si>
  <si>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</si>
  <si>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</si>
  <si>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</si>
  <si>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</si>
  <si>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</si>
  <si>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</si>
  <si>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</si>
  <si>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</si>
  <si>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</si>
  <si>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</si>
  <si>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</si>
  <si>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</si>
  <si>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</si>
  <si>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</si>
  <si>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</si>
  <si>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</si>
  <si>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</si>
  <si>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</si>
  <si>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</si>
  <si>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</si>
  <si>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</si>
  <si>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</si>
  <si>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</si>
  <si>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</si>
  <si>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</si>
  <si>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</si>
  <si>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</si>
  <si>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</si>
  <si>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</si>
  <si>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</si>
  <si>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</si>
  <si>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</si>
  <si>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</si>
  <si>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</si>
  <si>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</si>
  <si>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</si>
  <si>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</si>
  <si>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</si>
  <si>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</si>
  <si>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</si>
  <si>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</si>
  <si>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</si>
  <si>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</si>
  <si>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</si>
  <si>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</si>
  <si>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</si>
  <si>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</si>
  <si>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</si>
  <si>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</si>
  <si>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</si>
  <si>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</si>
  <si>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</si>
  <si>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</si>
  <si>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</si>
  <si>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</si>
  <si>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</si>
  <si>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</si>
  <si>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</si>
  <si>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</si>
  <si>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</si>
  <si>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</si>
  <si>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</si>
  <si>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</si>
  <si>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</si>
  <si>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</si>
  <si>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</si>
  <si>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</si>
  <si>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</si>
  <si>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</si>
  <si>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</si>
  <si>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</si>
  <si>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</si>
  <si>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</si>
  <si>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</si>
  <si>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</si>
  <si>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</si>
  <si>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</si>
  <si>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</si>
  <si>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</si>
  <si>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</si>
  <si>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</si>
  <si>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</si>
  <si>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</si>
  <si>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</si>
  <si>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</si>
  <si>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</si>
  <si>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</si>
  <si>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</si>
  <si>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</si>
  <si>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</si>
  <si>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</si>
  <si>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</si>
  <si>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</si>
  <si>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</si>
  <si>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</si>
  <si>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</si>
  <si>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</si>
  <si>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</si>
  <si>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</si>
  <si>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</si>
  <si>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</si>
  <si>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</si>
  <si>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</si>
  <si>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</si>
  <si>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</si>
  <si>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</si>
  <si>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</si>
  <si>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</si>
  <si>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</si>
  <si>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</si>
  <si>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</si>
  <si>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</si>
  <si>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</si>
  <si>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</si>
  <si>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</si>
  <si>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</si>
  <si>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</si>
  <si>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</si>
  <si>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</si>
  <si>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</si>
  <si>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</si>
  <si>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</si>
  <si>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</si>
  <si>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</si>
  <si>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</si>
  <si>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</si>
  <si>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</si>
  <si>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</si>
  <si>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</si>
  <si>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</si>
  <si>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</si>
  <si>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</si>
  <si>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</si>
  <si>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</si>
  <si>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</si>
  <si>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</si>
  <si>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</si>
  <si>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</si>
  <si>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</si>
  <si>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</si>
  <si>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</si>
  <si>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</si>
  <si>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</si>
  <si>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</si>
  <si>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</si>
  <si>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</si>
  <si>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</si>
  <si>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</si>
  <si>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</si>
  <si>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</si>
  <si>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</si>
  <si>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</si>
  <si>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</si>
  <si>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</si>
  <si>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</si>
  <si>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</si>
  <si>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</si>
  <si>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</si>
  <si>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</si>
  <si>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</si>
  <si>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</si>
  <si>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</si>
  <si>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</si>
  <si>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</si>
  <si>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</si>
  <si>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</si>
  <si>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</si>
  <si>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</si>
  <si>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</si>
  <si>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</si>
  <si>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</si>
  <si>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</si>
  <si>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</si>
  <si>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</si>
  <si>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</si>
  <si>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</si>
  <si>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</si>
  <si>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</si>
  <si>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</si>
  <si>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</si>
  <si>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</si>
  <si>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</si>
  <si>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</si>
  <si>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</si>
  <si>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</si>
  <si>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</si>
  <si>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</si>
  <si>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</si>
  <si>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</si>
  <si>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</si>
  <si>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</si>
  <si>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</si>
  <si>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</si>
  <si>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</si>
  <si>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</si>
  <si>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</si>
  <si>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</si>
  <si>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</si>
  <si>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</si>
  <si>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</si>
  <si>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</si>
  <si>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</si>
  <si>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</si>
  <si>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</si>
  <si>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</si>
  <si>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</si>
  <si>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</si>
  <si>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</si>
  <si>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</si>
  <si>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</si>
  <si>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</si>
  <si>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</si>
  <si>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</si>
  <si>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</si>
  <si>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</si>
  <si>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</si>
  <si>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</si>
  <si>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</si>
  <si>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</si>
  <si>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</si>
  <si>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</si>
  <si>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</si>
  <si>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</si>
  <si>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</si>
  <si>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</si>
  <si>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</si>
  <si>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</si>
  <si>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</si>
  <si>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</si>
  <si>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</si>
  <si>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</si>
  <si>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</si>
  <si>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</si>
  <si>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</si>
  <si>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</si>
  <si>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</si>
  <si>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</si>
  <si>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</si>
  <si>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</si>
  <si>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</si>
  <si>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</si>
  <si>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</si>
  <si>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</si>
  <si>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</si>
  <si>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</si>
  <si>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</si>
  <si>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</si>
  <si>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</si>
  <si>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</si>
  <si>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</si>
  <si>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</si>
  <si>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</si>
  <si>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</si>
  <si>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</si>
  <si>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</si>
  <si>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</si>
  <si>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</si>
  <si>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</si>
  <si>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</si>
  <si>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</si>
  <si>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</si>
  <si>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</si>
  <si>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</si>
  <si>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</si>
  <si>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</si>
  <si>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</si>
  <si>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</si>
  <si>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</si>
  <si>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</si>
  <si>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</si>
  <si>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</si>
  <si>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</si>
  <si>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</si>
  <si>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</si>
  <si>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</si>
  <si>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</si>
  <si>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</si>
  <si>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</si>
  <si>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</si>
  <si>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</si>
  <si>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</si>
  <si>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</si>
  <si>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</si>
  <si>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</si>
  <si>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</si>
  <si>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</si>
  <si>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</si>
  <si>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</si>
  <si>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</si>
  <si>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</si>
  <si>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</si>
  <si>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</si>
  <si>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</si>
  <si>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</si>
  <si>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</si>
  <si>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</si>
  <si>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</si>
  <si>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</si>
  <si>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</si>
  <si>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</si>
  <si>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</si>
  <si>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</si>
  <si>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</si>
  <si>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</si>
  <si>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</si>
  <si>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</si>
  <si>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</si>
  <si>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</si>
  <si>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</si>
  <si>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</si>
  <si>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</si>
  <si>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</si>
  <si>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</si>
  <si>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</si>
  <si>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</si>
  <si>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</si>
  <si>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</si>
  <si>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</si>
  <si>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</si>
  <si>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</si>
  <si>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</si>
  <si>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</si>
  <si>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</si>
  <si>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</si>
  <si>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</si>
  <si>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</si>
  <si>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</si>
  <si>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</si>
  <si>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</si>
  <si>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</si>
  <si>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</si>
  <si>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</si>
  <si>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</si>
  <si>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</si>
  <si>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</si>
  <si>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</si>
  <si>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</si>
  <si>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</si>
  <si>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</si>
  <si>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</si>
  <si>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</si>
  <si>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</si>
  <si>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</si>
  <si>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</si>
  <si>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</si>
  <si>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</si>
  <si>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</si>
  <si>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</si>
  <si>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</si>
  <si>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</si>
  <si>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</si>
  <si>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</si>
  <si>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</si>
  <si>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</si>
  <si>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</si>
  <si>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</si>
  <si>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</si>
  <si>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</si>
  <si>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</si>
  <si>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</si>
  <si>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</si>
  <si>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</si>
  <si>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</si>
  <si>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</si>
  <si>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</si>
  <si>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</si>
  <si>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</si>
  <si>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</si>
  <si>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</si>
  <si>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</si>
  <si>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</si>
  <si>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</si>
  <si>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</si>
  <si>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</si>
  <si>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</si>
  <si>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</si>
  <si>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</si>
  <si>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</si>
  <si>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</si>
  <si>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</si>
  <si>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</si>
  <si>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</si>
  <si>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</si>
  <si>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</si>
  <si>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</si>
  <si>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</si>
  <si>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</si>
  <si>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</si>
  <si>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</si>
  <si>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</si>
  <si>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</si>
  <si>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</si>
  <si>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</si>
  <si>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</si>
  <si>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</si>
  <si>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</si>
  <si>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</si>
  <si>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</si>
  <si>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</si>
  <si>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</si>
  <si>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</si>
  <si>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</si>
  <si>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</si>
  <si>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</si>
  <si>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</si>
  <si>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</si>
  <si>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</si>
  <si>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</si>
  <si>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</si>
  <si>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</si>
  <si>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</si>
  <si>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</si>
  <si>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</si>
  <si>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</si>
  <si>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</si>
  <si>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</si>
  <si>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</si>
  <si>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</si>
  <si>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</si>
  <si>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</si>
  <si>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</si>
  <si>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</si>
  <si>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</si>
  <si>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</si>
  <si>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</si>
  <si>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</si>
  <si>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</si>
  <si>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</si>
  <si>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</si>
  <si>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</si>
  <si>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</si>
  <si>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</si>
  <si>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</si>
  <si>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</si>
  <si>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</si>
  <si>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</si>
  <si>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</si>
  <si>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</si>
  <si>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</si>
  <si>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</si>
  <si>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</si>
  <si>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</si>
  <si>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</si>
  <si>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</si>
  <si>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</si>
  <si>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</si>
  <si>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</si>
  <si>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</si>
  <si>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</si>
  <si>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</si>
  <si>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</si>
  <si>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</si>
  <si>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</si>
  <si>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</si>
  <si>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</si>
  <si>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</si>
  <si>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</si>
  <si>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</si>
  <si>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</si>
  <si>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</si>
  <si>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</si>
  <si>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</si>
  <si>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</si>
  <si>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</si>
  <si>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</si>
  <si>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</si>
  <si>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</si>
  <si>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</si>
  <si>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</si>
  <si>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</si>
  <si>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</si>
  <si>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</si>
  <si>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</si>
  <si>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</si>
  <si>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</si>
  <si>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</si>
  <si>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</si>
  <si>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</si>
  <si>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</si>
  <si>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</si>
  <si>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</si>
  <si>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</si>
  <si>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</si>
  <si>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</si>
  <si>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</si>
  <si>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</si>
  <si>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</si>
  <si>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</si>
  <si>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</si>
  <si>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</si>
  <si>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</si>
  <si>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</si>
  <si>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</si>
  <si>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</si>
  <si>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</si>
  <si>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</si>
  <si>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</si>
  <si>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</si>
  <si>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</si>
  <si>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</si>
  <si>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</si>
  <si>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</si>
  <si>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</si>
  <si>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</si>
  <si>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</si>
  <si>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</si>
  <si>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</si>
  <si>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</si>
  <si>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</si>
  <si>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</si>
  <si>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</si>
  <si>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</si>
  <si>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</si>
  <si>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</si>
  <si>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</si>
  <si>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</si>
  <si>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</si>
  <si>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</si>
  <si>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</si>
  <si>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</si>
  <si>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</si>
  <si>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</si>
  <si>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</si>
  <si>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</si>
  <si>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</si>
  <si>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</si>
  <si>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</si>
  <si>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</si>
  <si>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</si>
  <si>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</si>
  <si>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</si>
  <si>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</si>
  <si>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</si>
  <si>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</si>
  <si>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</si>
  <si>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</si>
  <si>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</si>
  <si>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</si>
  <si>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</si>
  <si>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</si>
  <si>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</si>
  <si>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</si>
  <si>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</si>
  <si>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</si>
  <si>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</si>
  <si>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</si>
  <si>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</si>
  <si>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</si>
  <si>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</si>
  <si>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</si>
  <si>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</si>
  <si>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</si>
  <si>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</si>
  <si>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</si>
  <si>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</si>
  <si>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</si>
  <si>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</si>
  <si>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</si>
  <si>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</si>
  <si>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</si>
  <si>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</si>
  <si>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</si>
  <si>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</si>
  <si>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</si>
  <si>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</si>
  <si>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</si>
  <si>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</si>
  <si>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</si>
  <si>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</si>
  <si>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</si>
  <si>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</si>
  <si>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</si>
  <si>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</si>
  <si>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</si>
  <si>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</si>
  <si>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</si>
  <si>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</si>
  <si>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</si>
  <si>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</si>
  <si>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</si>
  <si>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</si>
  <si>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</si>
  <si>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</si>
  <si>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</si>
  <si>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</si>
  <si>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</si>
  <si>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</si>
  <si>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</si>
  <si>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</si>
  <si>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</si>
  <si>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</si>
  <si>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</si>
  <si>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</si>
  <si>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</si>
  <si>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</si>
  <si>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</si>
  <si>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</si>
  <si>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</si>
  <si>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</si>
  <si>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</si>
  <si>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</si>
  <si>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</si>
  <si>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</si>
  <si>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</si>
  <si>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</si>
  <si>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</si>
  <si>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</si>
  <si>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</si>
  <si>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</si>
  <si>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</si>
  <si>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</si>
  <si>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</si>
  <si>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</si>
  <si>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</si>
  <si>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</si>
  <si>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</si>
  <si>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</si>
  <si>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</si>
  <si>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</si>
  <si>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</si>
  <si>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</si>
  <si>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</si>
  <si>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</si>
  <si>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</si>
  <si>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</si>
  <si>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</si>
  <si>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</si>
  <si>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</si>
  <si>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</si>
  <si>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</si>
  <si>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</si>
  <si>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</si>
  <si>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</si>
  <si>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</si>
  <si>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</si>
  <si>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</si>
  <si>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</si>
  <si>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</si>
  <si>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</si>
  <si>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</si>
  <si>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</si>
  <si>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</si>
  <si>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</si>
  <si>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</si>
  <si>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</si>
  <si>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</si>
  <si>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</si>
  <si>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</si>
  <si>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</si>
  <si>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</si>
  <si>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</si>
  <si>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</si>
  <si>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</si>
  <si>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</si>
  <si>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</si>
  <si>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</si>
  <si>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</si>
  <si>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</si>
  <si>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</si>
  <si>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</si>
  <si>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</si>
  <si>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</si>
  <si>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</si>
  <si>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</si>
  <si>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</si>
  <si>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</si>
  <si>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</si>
  <si>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</si>
  <si>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</si>
  <si>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</si>
  <si>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</si>
  <si>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</si>
  <si>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</si>
  <si>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</si>
  <si>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</si>
  <si>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</si>
  <si>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</si>
  <si>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</si>
  <si>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</si>
  <si>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</si>
  <si>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</si>
  <si>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</si>
  <si>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</si>
  <si>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</si>
  <si>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</si>
  <si>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</si>
  <si>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</si>
  <si>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</si>
  <si>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</si>
  <si>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</si>
  <si>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</si>
  <si>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</si>
  <si>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</si>
  <si>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</si>
  <si>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</si>
  <si>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</si>
  <si>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</si>
  <si>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</si>
  <si>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</si>
  <si>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</si>
  <si>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</si>
  <si>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</si>
  <si>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</si>
  <si>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</si>
  <si>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</si>
  <si>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</si>
  <si>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</si>
  <si>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</si>
  <si>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</si>
  <si>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</si>
  <si>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</si>
  <si>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</si>
  <si>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</si>
  <si>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</si>
  <si>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</si>
  <si>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</si>
  <si>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</si>
  <si>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</si>
  <si>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</si>
  <si>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</si>
  <si>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</si>
  <si>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</si>
  <si>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</si>
  <si>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</si>
  <si>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</si>
  <si>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</si>
  <si>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</si>
  <si>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</si>
  <si>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</si>
  <si>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</si>
  <si>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</si>
  <si>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</si>
  <si>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</si>
  <si>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</si>
  <si>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</si>
  <si>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</si>
  <si>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</si>
  <si>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</si>
  <si>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</si>
  <si>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</si>
  <si>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</si>
  <si>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</si>
  <si>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</si>
  <si>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</si>
  <si>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</si>
  <si>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</si>
  <si>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</si>
  <si>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</si>
  <si>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</si>
  <si>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</si>
  <si>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</si>
  <si>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</si>
  <si>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</si>
  <si>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</si>
  <si>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</si>
  <si>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</si>
  <si>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</si>
  <si>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</si>
  <si>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</si>
  <si>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</si>
  <si>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</si>
  <si>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</si>
  <si>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</si>
  <si>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</si>
  <si>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</si>
  <si>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</si>
  <si>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</si>
  <si>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</si>
  <si>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</si>
  <si>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</si>
  <si>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</si>
  <si>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</si>
  <si>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</si>
  <si>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</si>
  <si>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</si>
  <si>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</si>
  <si>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</si>
  <si>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</si>
  <si>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</si>
  <si>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</si>
  <si>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</si>
  <si>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</si>
  <si>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</si>
  <si>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</si>
  <si>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</si>
  <si>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</si>
  <si>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</si>
  <si>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</si>
  <si>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</si>
  <si>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</si>
  <si>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</si>
  <si>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</si>
  <si>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</si>
  <si>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</si>
  <si>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</si>
  <si>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</si>
  <si>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</si>
  <si>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</si>
  <si>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</si>
  <si>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</si>
  <si>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</si>
  <si>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</si>
  <si>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</si>
  <si>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</si>
  <si>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</si>
  <si>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</si>
  <si>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</si>
  <si>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</si>
  <si>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</si>
  <si>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</si>
  <si>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</si>
  <si>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</si>
  <si>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</si>
  <si>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</si>
  <si>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</si>
  <si>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</si>
  <si>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</si>
  <si>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</si>
  <si>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</si>
  <si>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</si>
  <si>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</si>
  <si>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</si>
  <si>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</si>
  <si>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</si>
  <si>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</si>
  <si>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</si>
  <si>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</si>
  <si>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</si>
  <si>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</si>
  <si>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</si>
  <si>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</si>
  <si>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</si>
  <si>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</si>
  <si>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</si>
  <si>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</si>
  <si>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</si>
  <si>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</si>
  <si>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</si>
  <si>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</si>
  <si>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</si>
  <si>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</si>
  <si>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</si>
  <si>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</si>
  <si>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</si>
  <si>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</si>
  <si>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</si>
  <si>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</si>
  <si>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</si>
  <si>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</si>
  <si>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</si>
  <si>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</si>
  <si>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</si>
  <si>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</si>
  <si>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</si>
  <si>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</si>
  <si>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</si>
  <si>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</si>
  <si>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</si>
  <si>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</si>
  <si>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</si>
  <si>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</si>
  <si>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</si>
  <si>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</si>
  <si>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</si>
  <si>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</si>
  <si>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</si>
  <si>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</si>
  <si>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</si>
  <si>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</si>
  <si>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</si>
  <si>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</si>
  <si>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</si>
  <si>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</si>
  <si>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</si>
  <si>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</si>
  <si>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</si>
  <si>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</si>
  <si>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</si>
  <si>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</si>
  <si>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</si>
  <si>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</si>
  <si>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</si>
  <si>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</si>
  <si>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</si>
  <si>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</si>
  <si>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</si>
  <si>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</si>
  <si>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</si>
  <si>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</si>
  <si>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</si>
  <si>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</si>
  <si>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</si>
  <si>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</si>
  <si>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</si>
  <si>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</si>
  <si>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</si>
  <si>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</si>
  <si>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</si>
  <si>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</si>
  <si>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</si>
  <si>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</si>
  <si>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</si>
  <si>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</si>
  <si>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</si>
  <si>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</si>
  <si>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</si>
  <si>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</si>
  <si>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</si>
  <si>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</si>
  <si>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</si>
  <si>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</si>
  <si>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</si>
  <si>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</si>
  <si>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</si>
  <si>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</si>
  <si>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</si>
  <si>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</si>
  <si>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</si>
  <si>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</si>
  <si>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</si>
  <si>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</si>
  <si>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</si>
  <si>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</si>
  <si>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</si>
  <si>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</si>
  <si>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</si>
  <si>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</si>
  <si>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</si>
  <si>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</si>
  <si>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</si>
  <si>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</si>
  <si>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</si>
  <si>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</si>
  <si>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</si>
  <si>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</si>
  <si>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</si>
  <si>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</si>
  <si>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</si>
  <si>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</si>
  <si>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</si>
  <si>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</si>
  <si>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</si>
  <si>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</si>
  <si>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</si>
  <si>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</si>
  <si>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</si>
  <si>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</si>
  <si>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</si>
  <si>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</si>
  <si>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</si>
  <si>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</si>
  <si>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</si>
  <si>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</si>
  <si>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</si>
  <si>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</si>
  <si>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</si>
  <si>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</si>
  <si>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</si>
  <si>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</si>
  <si>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</si>
  <si>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</si>
  <si>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</si>
  <si>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</si>
  <si>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</si>
  <si>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</si>
  <si>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</si>
  <si>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</si>
  <si>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</si>
  <si>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</si>
  <si>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</si>
  <si>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</si>
  <si>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</si>
  <si>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</si>
  <si>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</si>
  <si>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</si>
  <si>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</si>
  <si>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</si>
  <si>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</si>
  <si>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</si>
  <si>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</si>
  <si>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</si>
  <si>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</si>
  <si>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</si>
  <si>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</si>
  <si>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</si>
  <si>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</si>
  <si>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</si>
  <si>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</si>
  <si>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</si>
  <si>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</si>
  <si>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</si>
  <si>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</si>
  <si>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</si>
  <si>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</si>
  <si>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</si>
  <si>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</si>
  <si>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</si>
  <si>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</si>
  <si>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</si>
  <si>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</si>
  <si>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</si>
  <si>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</si>
  <si>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</si>
  <si>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</si>
  <si>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</si>
  <si>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</si>
  <si>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</si>
  <si>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</si>
  <si>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</si>
  <si>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</si>
  <si>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</si>
  <si>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</si>
  <si>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</si>
  <si>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</si>
  <si>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</si>
  <si>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</si>
  <si>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</si>
  <si>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</si>
  <si>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</si>
  <si>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</si>
  <si>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</si>
  <si>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</si>
  <si>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</si>
  <si>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</si>
  <si>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</si>
  <si>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</si>
  <si>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</si>
  <si>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</si>
  <si>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</si>
  <si>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</si>
  <si>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</si>
  <si>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</si>
  <si>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</si>
  <si>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</si>
  <si>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</si>
  <si>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</si>
  <si>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</si>
  <si>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</si>
  <si>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</si>
  <si>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</si>
  <si>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</si>
  <si>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</si>
  <si>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</si>
  <si>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</si>
  <si>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</si>
  <si>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</si>
  <si>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</si>
  <si>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</si>
  <si>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</si>
  <si>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</si>
  <si>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</si>
  <si>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</si>
  <si>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</si>
  <si>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</si>
  <si>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</si>
  <si>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</si>
  <si>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</si>
  <si>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</si>
  <si>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</si>
  <si>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</si>
  <si>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</si>
  <si>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</si>
  <si>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</si>
  <si>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</si>
  <si>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</si>
  <si>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</si>
  <si>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</si>
  <si>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</si>
  <si>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</si>
  <si>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</si>
  <si>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</si>
  <si>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</si>
  <si>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</si>
  <si>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</si>
  <si>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</si>
  <si>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</si>
  <si>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</si>
  <si>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</si>
  <si>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</si>
  <si>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</si>
  <si>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</si>
  <si>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</si>
  <si>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</si>
  <si>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</si>
  <si>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</si>
  <si>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</si>
  <si>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</si>
  <si>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</si>
  <si>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</si>
  <si>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</si>
  <si>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</si>
  <si>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</si>
  <si>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</si>
  <si>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</si>
  <si>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</si>
  <si>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</si>
  <si>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</si>
  <si>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</si>
  <si>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</si>
  <si>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</si>
  <si>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</si>
  <si>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</si>
  <si>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</si>
  <si>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</si>
  <si>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</si>
  <si>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</si>
  <si>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</si>
  <si>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</si>
  <si>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</si>
  <si>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</si>
  <si>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</si>
  <si>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</si>
  <si>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</si>
  <si>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</si>
  <si>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</si>
  <si>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</si>
  <si>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</si>
  <si>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</si>
  <si>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</si>
  <si>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</si>
  <si>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</si>
  <si>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</si>
  <si>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</si>
  <si>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</si>
  <si>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</si>
  <si>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</si>
  <si>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</si>
  <si>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</si>
  <si>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</si>
  <si>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</si>
  <si>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</si>
  <si>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</si>
  <si>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</si>
  <si>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</si>
  <si>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</si>
  <si>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</si>
  <si>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</si>
  <si>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</si>
  <si>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</si>
  <si>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</si>
  <si>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</si>
  <si>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</si>
  <si>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</si>
  <si>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</si>
  <si>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</si>
  <si>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</si>
  <si>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</si>
  <si>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</si>
  <si>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</si>
  <si>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</si>
  <si>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</si>
  <si>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</si>
  <si>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</si>
  <si>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</si>
  <si>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</si>
  <si>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</si>
  <si>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</si>
  <si>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</si>
  <si>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</si>
  <si>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</si>
  <si>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</si>
  <si>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</si>
  <si>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</si>
  <si>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</si>
  <si>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</si>
  <si>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</si>
  <si>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</si>
  <si>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</si>
  <si>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</si>
  <si>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</si>
  <si>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</si>
  <si>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</si>
  <si>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</si>
  <si>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</si>
  <si>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</si>
  <si>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</si>
  <si>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</si>
  <si>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</si>
  <si>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</si>
  <si>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</si>
  <si>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</si>
  <si>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</si>
  <si>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</si>
  <si>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</si>
  <si>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</si>
  <si>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</si>
  <si>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</si>
  <si>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</si>
  <si>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</si>
  <si>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</si>
  <si>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</si>
  <si>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</si>
  <si>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</si>
  <si>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</si>
  <si>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</si>
  <si>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</si>
  <si>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</si>
  <si>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</si>
  <si>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</si>
  <si>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</si>
  <si>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</si>
  <si>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</si>
  <si>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</si>
  <si>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</si>
  <si>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</si>
  <si>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</si>
  <si>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</si>
  <si>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</si>
  <si>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</si>
  <si>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</si>
  <si>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</si>
  <si>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</si>
  <si>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</si>
  <si>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</si>
  <si>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</si>
  <si>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</si>
  <si>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</si>
  <si>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</si>
  <si>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</si>
  <si>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</si>
  <si>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</si>
  <si>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</si>
  <si>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</si>
  <si>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</si>
  <si>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</si>
  <si>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</si>
  <si>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</si>
  <si>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</si>
  <si>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</si>
  <si>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</si>
  <si>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</si>
  <si>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</si>
  <si>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</si>
  <si>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</si>
  <si>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</si>
  <si>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</si>
  <si>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</si>
  <si>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</si>
  <si>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</si>
  <si>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</si>
  <si>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</si>
  <si>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</si>
  <si>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</si>
  <si>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</si>
  <si>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</si>
  <si>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</si>
  <si>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</si>
  <si>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</si>
  <si>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</si>
  <si>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</si>
  <si>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</si>
  <si>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</si>
  <si>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</si>
  <si>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</si>
  <si>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</si>
  <si>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</si>
  <si>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</si>
  <si>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</si>
  <si>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</si>
  <si>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</si>
  <si>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</si>
  <si>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</si>
  <si>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</si>
  <si>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</si>
  <si>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</si>
  <si>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</si>
  <si>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</si>
  <si>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</si>
  <si>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</si>
  <si>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</si>
  <si>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</si>
  <si>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</si>
  <si>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</si>
  <si>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</si>
  <si>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</si>
  <si>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</si>
  <si>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</si>
  <si>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</si>
  <si>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</si>
  <si>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</si>
  <si>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</si>
  <si>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</si>
  <si>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</si>
  <si>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</si>
  <si>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</si>
  <si>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</si>
  <si>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</si>
  <si>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</si>
  <si>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</si>
  <si>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</si>
  <si>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</si>
  <si>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</si>
  <si>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</si>
  <si>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</si>
  <si>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</si>
  <si>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</si>
  <si>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</si>
  <si>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</si>
  <si>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</si>
  <si>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</si>
  <si>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</si>
  <si>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</si>
  <si>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</si>
  <si>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</si>
  <si>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</si>
  <si>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</si>
  <si>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</si>
  <si>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</si>
  <si>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</si>
  <si>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</si>
  <si>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</si>
  <si>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</si>
  <si>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</si>
  <si>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</si>
  <si>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</si>
  <si>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</si>
  <si>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</si>
  <si>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</si>
  <si>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</si>
  <si>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</si>
  <si>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</si>
  <si>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</si>
  <si>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</si>
  <si>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</si>
  <si>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</si>
  <si>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</si>
  <si>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</si>
  <si>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</si>
  <si>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</si>
  <si>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</si>
  <si>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</si>
  <si>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</si>
  <si>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</si>
  <si>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</si>
  <si>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</si>
  <si>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</si>
  <si>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</si>
  <si>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</si>
  <si>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</si>
  <si>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</si>
  <si>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</si>
  <si>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</si>
  <si>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</si>
  <si>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</si>
  <si>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</si>
  <si>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</si>
  <si>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</si>
  <si>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</si>
  <si>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</si>
  <si>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</si>
  <si>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</si>
  <si>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</si>
  <si>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</si>
  <si>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</si>
  <si>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</si>
  <si>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</si>
  <si>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</si>
  <si>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</si>
  <si>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</si>
  <si>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</si>
  <si>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</si>
  <si>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</si>
  <si>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</si>
  <si>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</si>
  <si>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</si>
  <si>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</si>
  <si>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</si>
  <si>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</si>
  <si>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</si>
  <si>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</si>
  <si>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</si>
  <si>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</si>
  <si>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</si>
  <si>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</si>
  <si>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</si>
  <si>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</si>
  <si>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</si>
  <si>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</si>
  <si>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</si>
  <si>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</si>
  <si>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</si>
  <si>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</si>
  <si>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</si>
  <si>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</si>
  <si>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</si>
  <si>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</si>
  <si>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</si>
  <si>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</si>
  <si>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</si>
  <si>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</si>
  <si>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</si>
  <si>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</si>
  <si>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</si>
  <si>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</si>
  <si>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</si>
  <si>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</si>
  <si>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</si>
  <si>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</si>
  <si>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</si>
  <si>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</si>
  <si>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</si>
  <si>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</si>
  <si>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</si>
  <si>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</si>
  <si>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</si>
  <si>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</si>
  <si>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</si>
  <si>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</si>
  <si>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</si>
  <si>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</si>
  <si>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</si>
  <si>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</si>
  <si>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</si>
  <si>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</si>
  <si>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</si>
  <si>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</si>
  <si>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</si>
  <si>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</si>
  <si>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</si>
  <si>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</si>
  <si>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</si>
  <si>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</si>
  <si>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</si>
  <si>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</si>
  <si>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</si>
  <si>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</si>
  <si>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</si>
  <si>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</si>
  <si>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</si>
  <si>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</si>
  <si>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</si>
  <si>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</si>
  <si>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</si>
  <si>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</si>
  <si>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</si>
  <si>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</si>
  <si>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</si>
  <si>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</si>
  <si>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</si>
  <si>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</si>
  <si>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</si>
  <si>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</si>
  <si>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</si>
  <si>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</si>
  <si>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</si>
  <si>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</si>
  <si>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</si>
  <si>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</si>
  <si>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</si>
  <si>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</si>
  <si>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</si>
  <si>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</si>
  <si>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</si>
  <si>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</si>
  <si>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</si>
  <si>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</si>
  <si>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</si>
  <si>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</si>
  <si>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</si>
  <si>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</si>
  <si>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</si>
  <si>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</si>
  <si>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</si>
  <si>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</si>
  <si>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</si>
  <si>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</si>
  <si>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</si>
  <si>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</si>
  <si>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</si>
  <si>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</si>
  <si>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</si>
  <si>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</si>
  <si>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</si>
  <si>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</si>
  <si>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</si>
  <si>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</si>
  <si>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</si>
  <si>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</si>
  <si>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</si>
  <si>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</si>
  <si>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</si>
  <si>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</si>
  <si>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</si>
  <si>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</si>
  <si>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</si>
  <si>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</si>
  <si>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</si>
  <si>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</si>
  <si>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</si>
  <si>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</si>
  <si>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</si>
  <si>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</si>
  <si>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</si>
  <si>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</si>
  <si>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</si>
  <si>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</si>
  <si>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</si>
  <si>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</si>
  <si>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</si>
  <si>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</si>
  <si>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</si>
  <si>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</si>
  <si>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</si>
  <si>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</si>
  <si>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</si>
  <si>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</si>
  <si>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</si>
  <si>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</si>
  <si>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</si>
  <si>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</si>
  <si>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</si>
  <si>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</si>
  <si>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</si>
  <si>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</si>
  <si>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</si>
  <si>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</si>
  <si>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</si>
  <si>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</si>
  <si>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</si>
  <si>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</si>
  <si>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</si>
  <si>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</si>
  <si>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</si>
  <si>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</si>
  <si>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</si>
  <si>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</si>
  <si>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</si>
  <si>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</si>
  <si>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</si>
  <si>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</si>
  <si>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</si>
  <si>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</si>
  <si>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</si>
  <si>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</si>
  <si>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</si>
  <si>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</si>
  <si>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</si>
  <si>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</si>
  <si>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</si>
  <si>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</si>
  <si>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</si>
  <si>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</si>
  <si>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</si>
  <si>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</si>
  <si>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</si>
  <si>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</si>
  <si>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</si>
  <si>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</si>
  <si>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</si>
  <si>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</si>
  <si>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</si>
  <si>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</si>
  <si>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</si>
  <si>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</si>
  <si>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</si>
  <si>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</si>
  <si>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</si>
  <si>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</si>
  <si>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</si>
  <si>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</si>
  <si>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</si>
  <si>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</si>
  <si>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</si>
  <si>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</si>
  <si>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</si>
  <si>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</si>
  <si>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</si>
  <si>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</si>
  <si>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</si>
  <si>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</si>
  <si>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</si>
  <si>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</si>
  <si>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</si>
  <si>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</si>
  <si>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</si>
  <si>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</si>
  <si>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</si>
  <si>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</si>
  <si>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</si>
  <si>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</si>
  <si>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</si>
  <si>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</si>
  <si>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</si>
  <si>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</si>
  <si>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</si>
  <si>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</si>
  <si>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</si>
  <si>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</si>
  <si>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</si>
  <si>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</si>
  <si>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</si>
  <si>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</si>
  <si>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</si>
  <si>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</si>
  <si>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</si>
  <si>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</si>
  <si>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</si>
  <si>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</si>
  <si>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</si>
  <si>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</si>
  <si>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</si>
  <si>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</si>
  <si>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</si>
  <si>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</si>
  <si>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</si>
  <si>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</si>
  <si>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</si>
  <si>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</si>
  <si>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</si>
  <si>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</si>
  <si>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</si>
  <si>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</si>
  <si>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</si>
  <si>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</si>
  <si>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</si>
  <si>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</si>
  <si>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</si>
  <si>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</si>
  <si>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</si>
  <si>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</si>
  <si>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</si>
  <si>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</si>
  <si>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</si>
  <si>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</si>
  <si>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</si>
  <si>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</si>
  <si>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</si>
  <si>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</si>
  <si>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</si>
  <si>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</si>
  <si>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</si>
  <si>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</si>
  <si>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</si>
  <si>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</si>
  <si>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</si>
  <si>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</si>
  <si>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</si>
  <si>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</si>
  <si>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</si>
  <si>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</si>
  <si>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</si>
  <si>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</si>
  <si>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</si>
  <si>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</si>
  <si>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</si>
  <si>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</si>
  <si>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</si>
  <si>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</si>
  <si>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</si>
  <si>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</si>
  <si>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</si>
  <si>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</si>
  <si>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</si>
  <si>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</si>
  <si>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</si>
  <si>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</si>
  <si>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</si>
  <si>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</si>
  <si>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</si>
  <si>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</si>
  <si>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</si>
  <si>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</si>
  <si>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</si>
  <si>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</si>
  <si>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</si>
  <si>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</si>
  <si>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</si>
  <si>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</si>
  <si>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</si>
  <si>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</si>
  <si>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</si>
  <si>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</si>
  <si>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</si>
  <si>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</si>
  <si>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</si>
  <si>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</si>
  <si>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</si>
  <si>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</si>
  <si>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</si>
  <si>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</si>
  <si>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</si>
  <si>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</si>
  <si>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</si>
  <si>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</si>
  <si>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</si>
  <si>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</si>
  <si>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</si>
  <si>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</si>
  <si>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</si>
  <si>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</si>
  <si>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</si>
  <si>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</si>
  <si>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</si>
  <si>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</si>
  <si>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</si>
  <si>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</si>
  <si>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</si>
  <si>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</si>
  <si>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</si>
  <si>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</si>
  <si>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</si>
  <si>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</si>
  <si>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</si>
  <si>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</si>
  <si>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</si>
  <si>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</si>
  <si>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</si>
  <si>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</si>
  <si>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</si>
  <si>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</si>
  <si>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</si>
  <si>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</si>
  <si>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</si>
  <si>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</si>
  <si>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</si>
  <si>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</si>
  <si>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</si>
  <si>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</si>
  <si>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</si>
  <si>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</si>
  <si>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</si>
  <si>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</si>
  <si>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</si>
  <si>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</si>
  <si>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</si>
  <si>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</si>
  <si>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</si>
  <si>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</si>
  <si>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</si>
  <si>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</si>
  <si>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</si>
  <si>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</si>
  <si>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</si>
  <si>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</si>
  <si>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</si>
  <si>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</si>
  <si>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</si>
  <si>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</si>
  <si>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</si>
  <si>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</si>
  <si>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</si>
  <si>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</si>
  <si>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</si>
  <si>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</si>
  <si>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</si>
  <si>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</si>
  <si>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</si>
  <si>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</si>
  <si>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</si>
  <si>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</si>
  <si>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</si>
  <si>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</si>
  <si>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</si>
  <si>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</si>
  <si>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</si>
  <si>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</si>
  <si>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</si>
  <si>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</si>
  <si>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</si>
  <si>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</si>
  <si>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</si>
  <si>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</si>
  <si>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</si>
  <si>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</si>
  <si>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</si>
  <si>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</si>
  <si>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</si>
  <si>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</si>
  <si>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</si>
  <si>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</si>
  <si>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</si>
  <si>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</si>
  <si>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</si>
  <si>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</si>
  <si>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</si>
  <si>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</si>
  <si>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</si>
  <si>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</si>
  <si>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</si>
  <si>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</si>
  <si>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</si>
  <si>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</si>
  <si>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</si>
  <si>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</si>
  <si>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</si>
  <si>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</si>
  <si>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</si>
  <si>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</si>
  <si>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</si>
  <si>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</si>
  <si>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</si>
  <si>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</si>
  <si>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</si>
  <si>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</si>
  <si>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</si>
  <si>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</si>
  <si>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</si>
  <si>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</si>
  <si>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</si>
  <si>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</si>
  <si>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</si>
  <si>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</si>
  <si>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</si>
  <si>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</si>
  <si>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</si>
  <si>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</si>
  <si>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</si>
  <si>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</si>
  <si>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</si>
  <si>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</si>
  <si>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</si>
  <si>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</si>
  <si>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</si>
  <si>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</si>
  <si>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</si>
  <si>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</si>
  <si>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</si>
  <si>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</si>
  <si>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</si>
  <si>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</si>
  <si>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</si>
  <si>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</si>
  <si>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</si>
  <si>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</si>
  <si>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</si>
  <si>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</si>
  <si>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</si>
  <si>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</si>
  <si>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</si>
  <si>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</si>
  <si>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</si>
  <si>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</si>
  <si>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</si>
  <si>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</si>
  <si>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</si>
  <si>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</si>
  <si>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</si>
  <si>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</si>
  <si>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</si>
  <si>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</si>
  <si>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</si>
  <si>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</si>
  <si>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</si>
  <si>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</si>
  <si>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</si>
  <si>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</si>
  <si>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</si>
  <si>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</si>
  <si>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</si>
  <si>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</si>
  <si>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</si>
  <si>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</si>
  <si>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</si>
  <si>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</si>
  <si>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</si>
  <si>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</si>
  <si>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</si>
  <si>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</si>
  <si>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</si>
  <si>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</si>
  <si>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</si>
  <si>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</si>
  <si>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</si>
  <si>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</si>
  <si>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</si>
  <si>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</si>
  <si>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</si>
  <si>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</si>
  <si>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</si>
  <si>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</si>
  <si>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</si>
  <si>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</si>
  <si>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</si>
  <si>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</si>
  <si>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</si>
  <si>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</si>
  <si>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</si>
  <si>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</si>
  <si>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</si>
  <si>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</si>
  <si>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</si>
  <si>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</si>
  <si>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</si>
  <si>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</si>
  <si>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</si>
  <si>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</si>
  <si>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</si>
  <si>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</si>
  <si>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</si>
  <si>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</si>
  <si>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</si>
  <si>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</si>
  <si>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</si>
  <si>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</si>
  <si>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</si>
  <si>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</si>
  <si>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</si>
  <si>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</si>
  <si>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</si>
  <si>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</si>
  <si>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</si>
  <si>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</si>
  <si>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</si>
  <si>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</si>
  <si>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</si>
  <si>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</si>
  <si>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</si>
  <si>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</si>
  <si>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</si>
  <si>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</si>
  <si>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</si>
  <si>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</si>
  <si>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</si>
  <si>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</si>
  <si>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</si>
  <si>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</si>
  <si>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</si>
  <si>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</si>
  <si>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</si>
  <si>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</si>
  <si>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</si>
  <si>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</si>
  <si>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</si>
  <si>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</si>
  <si>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</si>
  <si>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</si>
  <si>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</si>
  <si>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</si>
  <si>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</si>
  <si>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</si>
  <si>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</si>
  <si>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</si>
  <si>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</si>
  <si>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</si>
  <si>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</si>
  <si>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</si>
  <si>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</si>
  <si>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</si>
  <si>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</si>
  <si>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</si>
  <si>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</si>
  <si>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</si>
  <si>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</si>
  <si>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</si>
  <si>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</si>
  <si>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</si>
  <si>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</si>
  <si>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</si>
  <si>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</si>
  <si>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</si>
  <si>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</si>
  <si>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</si>
  <si>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</si>
  <si>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</si>
  <si>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</si>
  <si>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</si>
  <si>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</si>
  <si>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</si>
  <si>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</si>
  <si>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</si>
  <si>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</si>
  <si>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</si>
  <si>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</si>
  <si>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</si>
  <si>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</si>
  <si>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</si>
  <si>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</si>
  <si>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</si>
  <si>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</si>
  <si>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</si>
  <si>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</si>
  <si>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</si>
  <si>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</si>
  <si>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</si>
  <si>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</si>
  <si>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</si>
  <si>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</si>
  <si>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</si>
  <si>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</si>
  <si>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</si>
  <si>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</si>
  <si>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</si>
  <si>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</si>
  <si>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</si>
  <si>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</si>
  <si>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</si>
  <si>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</si>
  <si>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</si>
  <si>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</si>
  <si>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</si>
  <si>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</si>
  <si>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</si>
  <si>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</si>
  <si>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</si>
  <si>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</si>
  <si>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</si>
  <si>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</si>
  <si>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</si>
  <si>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</si>
  <si>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</si>
  <si>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</si>
  <si>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</si>
  <si>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</si>
  <si>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</si>
  <si>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</si>
  <si>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</si>
  <si>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</si>
  <si>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</si>
  <si>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</si>
  <si>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</si>
  <si>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</si>
  <si>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</si>
  <si>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</si>
  <si>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</si>
  <si>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</si>
  <si>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</si>
  <si>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</si>
  <si>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</si>
  <si>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</si>
  <si>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</si>
  <si>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</si>
  <si>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</si>
  <si>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</si>
  <si>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</si>
  <si>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</si>
  <si>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</si>
  <si>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</si>
  <si>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</si>
  <si>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</si>
  <si>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</si>
  <si>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</si>
  <si>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</si>
  <si>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</si>
  <si>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</si>
  <si>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</si>
  <si>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</si>
  <si>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</si>
  <si>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</si>
  <si>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</si>
  <si>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</si>
  <si>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</si>
  <si>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</si>
  <si>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</si>
  <si>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</si>
  <si>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</si>
  <si>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</si>
  <si>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</si>
  <si>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</si>
  <si>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</si>
  <si>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</si>
  <si>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</si>
  <si>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</si>
  <si>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</si>
  <si>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</si>
  <si>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</si>
  <si>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</si>
  <si>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</si>
  <si>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</si>
  <si>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</si>
  <si>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</si>
  <si>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</si>
  <si>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</si>
  <si>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</si>
  <si>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</si>
  <si>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</si>
  <si>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</si>
  <si>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</si>
  <si>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</si>
  <si>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</si>
  <si>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</si>
  <si>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</si>
  <si>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</si>
  <si>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</si>
  <si>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</si>
  <si>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</si>
  <si>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</si>
  <si>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</si>
  <si>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</si>
  <si>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</si>
  <si>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</si>
  <si>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</si>
  <si>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</si>
  <si>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</si>
  <si>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</si>
  <si>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</si>
  <si>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</si>
  <si>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</si>
  <si>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</si>
  <si>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</si>
  <si>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</si>
  <si>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</si>
  <si>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</si>
  <si>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</si>
  <si>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</si>
  <si>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</si>
  <si>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</si>
  <si>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</si>
  <si>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</si>
  <si>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</si>
  <si>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</si>
  <si>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</si>
  <si>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</si>
  <si>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</si>
  <si>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</si>
  <si>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</si>
  <si>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</si>
  <si>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</si>
  <si>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</si>
  <si>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</si>
  <si>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</si>
  <si>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</si>
  <si>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</si>
  <si>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</si>
  <si>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</si>
  <si>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</si>
  <si>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</si>
  <si>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</si>
  <si>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</si>
  <si>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</si>
  <si>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</si>
  <si>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</si>
  <si>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</si>
  <si>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</si>
  <si>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</si>
  <si>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</si>
  <si>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</si>
  <si>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</si>
  <si>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</si>
  <si>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</si>
  <si>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</si>
  <si>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</si>
  <si>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</si>
  <si>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</si>
  <si>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</si>
  <si>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</si>
  <si>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</si>
  <si>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</si>
  <si>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</si>
  <si>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</si>
  <si>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</si>
  <si>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</si>
  <si>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</si>
  <si>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</si>
  <si>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</si>
  <si>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</si>
  <si>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</si>
  <si>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</si>
  <si>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</si>
  <si>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</si>
  <si>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</si>
  <si>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</si>
  <si>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</si>
  <si>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</si>
  <si>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</si>
  <si>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</si>
  <si>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</si>
  <si>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</si>
  <si>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</si>
  <si>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</si>
  <si>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</si>
  <si>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</si>
  <si>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</si>
  <si>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</si>
  <si>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</si>
  <si>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</si>
  <si>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</si>
  <si>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</si>
  <si>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</si>
  <si>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</si>
  <si>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</si>
  <si>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</si>
  <si>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</si>
  <si>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</si>
  <si>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</si>
  <si>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</si>
  <si>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</si>
  <si>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</si>
  <si>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</si>
  <si>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</si>
  <si>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</si>
  <si>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</si>
  <si>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</si>
  <si>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</si>
  <si>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</si>
  <si>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</si>
  <si>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</si>
  <si>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</si>
  <si>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</si>
  <si>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</si>
  <si>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</si>
  <si>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</si>
  <si>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</si>
  <si>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</si>
  <si>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</si>
  <si>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</si>
  <si>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</si>
  <si>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</si>
  <si>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</si>
  <si>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</si>
  <si>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</si>
  <si>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</si>
  <si>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</si>
  <si>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</si>
  <si>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</si>
  <si>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</si>
  <si>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</si>
  <si>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</si>
  <si>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</si>
  <si>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</si>
  <si>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</si>
  <si>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</si>
  <si>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</si>
  <si>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</si>
  <si>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</si>
  <si>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</si>
  <si>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</si>
  <si>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</si>
  <si>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</si>
  <si>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</si>
  <si>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</si>
  <si>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</si>
  <si>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</si>
  <si>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</si>
  <si>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</si>
  <si>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</si>
  <si>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</si>
  <si>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</si>
  <si>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</si>
  <si>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</si>
  <si>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</si>
  <si>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</si>
  <si>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</si>
  <si>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</si>
  <si>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</si>
  <si>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</si>
  <si>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</si>
  <si>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</si>
  <si>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</si>
  <si>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</si>
  <si>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</si>
  <si>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</si>
  <si>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</si>
  <si>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</si>
  <si>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</si>
  <si>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</si>
  <si>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</si>
  <si>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</si>
  <si>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</si>
  <si>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</si>
  <si>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</si>
  <si>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</si>
  <si>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</si>
  <si>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</si>
  <si>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</si>
  <si>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</si>
  <si>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</si>
  <si>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</si>
  <si>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</si>
  <si>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</si>
  <si>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</si>
  <si>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</si>
  <si>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</si>
  <si>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</si>
  <si>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</si>
  <si>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</si>
  <si>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</si>
  <si>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</si>
  <si>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</si>
  <si>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</si>
  <si>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</si>
  <si>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</si>
  <si>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</si>
  <si>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</si>
  <si>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</si>
  <si>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</si>
  <si>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</si>
  <si>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</si>
  <si>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</si>
  <si>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</si>
  <si>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</si>
  <si>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</si>
  <si>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</si>
  <si>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</si>
  <si>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</si>
  <si>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</si>
  <si>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</si>
  <si>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</si>
  <si>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</si>
  <si>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</si>
  <si>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</si>
  <si>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</si>
  <si>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</si>
  <si>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</si>
  <si>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</si>
  <si>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</si>
  <si>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</si>
  <si>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</si>
  <si>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</si>
  <si>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</si>
  <si>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</si>
  <si>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</si>
  <si>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</si>
  <si>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</si>
  <si>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</si>
  <si>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</si>
  <si>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</si>
  <si>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</si>
  <si>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</si>
  <si>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</si>
  <si>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</si>
  <si>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</si>
  <si>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</si>
  <si>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</si>
  <si>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</si>
  <si>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</si>
  <si>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</si>
  <si>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</si>
  <si>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</si>
  <si>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</si>
  <si>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</si>
  <si>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</si>
  <si>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</si>
  <si>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</si>
  <si>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</si>
  <si>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</si>
  <si>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</si>
  <si>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</si>
  <si>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</si>
  <si>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</si>
  <si>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</si>
  <si>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</si>
  <si>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</si>
  <si>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</si>
  <si>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</si>
  <si>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</si>
  <si>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</si>
  <si>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</si>
  <si>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</si>
  <si>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</si>
  <si>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</si>
  <si>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</si>
  <si>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</si>
  <si>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</si>
  <si>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</si>
  <si>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</si>
  <si>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</si>
  <si>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</si>
  <si>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</si>
  <si>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</si>
  <si>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</si>
  <si>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</si>
  <si>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</si>
  <si>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</si>
  <si>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</si>
  <si>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</si>
  <si>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</si>
  <si>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</si>
  <si>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</si>
  <si>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</si>
  <si>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</si>
  <si>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</si>
  <si>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</si>
  <si>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</si>
  <si>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</si>
  <si>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</si>
  <si>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</si>
  <si>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</si>
  <si>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</si>
  <si>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</si>
  <si>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</si>
  <si>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</si>
  <si>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</si>
  <si>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</si>
  <si>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</si>
  <si>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</si>
  <si>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</si>
  <si>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</si>
  <si>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</si>
  <si>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</si>
  <si>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</si>
  <si>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</si>
  <si>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</si>
  <si>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</si>
  <si>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</si>
  <si>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</si>
  <si>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</si>
  <si>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</si>
  <si>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</si>
  <si>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</si>
  <si>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</si>
  <si>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</si>
  <si>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</si>
  <si>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</si>
  <si>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</si>
  <si>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</si>
  <si>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</si>
  <si>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</si>
  <si>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</si>
  <si>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</si>
  <si>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</si>
  <si>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</si>
  <si>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</si>
  <si>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</si>
  <si>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</si>
  <si>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</si>
  <si>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</si>
  <si>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</si>
  <si>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</si>
  <si>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</si>
  <si>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</si>
  <si>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</si>
  <si>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</si>
  <si>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</si>
  <si>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</si>
  <si>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</si>
  <si>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</si>
  <si>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</si>
  <si>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</si>
  <si>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</si>
  <si>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</si>
  <si>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</si>
  <si>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</si>
  <si>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</si>
  <si>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</si>
  <si>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</si>
  <si>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</si>
  <si>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</si>
  <si>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</si>
  <si>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</si>
  <si>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</si>
  <si>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</si>
  <si>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</si>
  <si>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</si>
  <si>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</si>
  <si>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</si>
  <si>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</si>
  <si>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</si>
  <si>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</si>
  <si>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</si>
  <si>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</si>
  <si>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</si>
  <si>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</si>
  <si>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</si>
  <si>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</si>
  <si>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</si>
  <si>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</si>
  <si>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</si>
  <si>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</si>
  <si>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</si>
  <si>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</si>
  <si>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</si>
  <si>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</si>
  <si>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</si>
  <si>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</si>
  <si>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</si>
  <si>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</si>
  <si>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</si>
  <si>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</si>
  <si>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</si>
  <si>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</si>
  <si>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</si>
  <si>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</si>
  <si>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</si>
  <si>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</si>
  <si>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</si>
  <si>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</si>
  <si>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</si>
  <si>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</si>
  <si>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</si>
  <si>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</si>
  <si>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</si>
  <si>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</si>
  <si>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</si>
  <si>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</si>
  <si>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</si>
  <si>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</si>
  <si>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</si>
  <si>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</si>
  <si>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</si>
  <si>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</si>
  <si>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</si>
  <si>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</si>
  <si>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</si>
  <si>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</si>
  <si>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</si>
  <si>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</si>
  <si>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</si>
  <si>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</si>
  <si>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</si>
  <si>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</si>
  <si>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</si>
  <si>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</si>
  <si>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</si>
  <si>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</si>
  <si>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</si>
  <si>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</si>
  <si>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</si>
  <si>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</si>
  <si>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</si>
  <si>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</si>
  <si>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</si>
  <si>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</si>
  <si>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</si>
  <si>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</si>
  <si>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</si>
  <si>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</si>
  <si>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</si>
  <si>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</si>
  <si>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</si>
  <si>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</si>
  <si>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</si>
  <si>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</si>
  <si>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</si>
  <si>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</si>
  <si>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</si>
  <si>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</si>
  <si>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</si>
  <si>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</si>
  <si>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</si>
  <si>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</si>
  <si>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</si>
  <si>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</si>
  <si>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</si>
  <si>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</si>
  <si>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</si>
  <si>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</si>
  <si>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</si>
  <si>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</si>
  <si>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</si>
  <si>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</si>
  <si>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</si>
  <si>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</si>
  <si>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</si>
  <si>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</si>
  <si>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</si>
  <si>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</si>
  <si>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</si>
  <si>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</si>
  <si>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</si>
  <si>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</si>
  <si>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</si>
  <si>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</si>
  <si>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</si>
  <si>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</si>
  <si>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</si>
  <si>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</si>
  <si>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</si>
  <si>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</si>
  <si>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</si>
  <si>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</si>
  <si>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</si>
  <si>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</si>
  <si>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</si>
  <si>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</si>
  <si>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</si>
  <si>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</si>
  <si>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</si>
  <si>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</si>
  <si>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</si>
  <si>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</si>
  <si>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</si>
  <si>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</si>
  <si>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</si>
  <si>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</si>
  <si>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</si>
  <si>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</si>
  <si>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</si>
  <si>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</si>
  <si>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</si>
  <si>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</si>
  <si>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</si>
  <si>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</si>
  <si>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</si>
  <si>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</si>
  <si>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</si>
  <si>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</si>
  <si>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</si>
  <si>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</si>
  <si>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</si>
  <si>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</si>
  <si>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</si>
  <si>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</si>
  <si>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</si>
  <si>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</si>
  <si>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</si>
  <si>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</si>
  <si>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</si>
  <si>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</si>
  <si>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</si>
  <si>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</si>
  <si>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</si>
  <si>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</si>
  <si>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</si>
  <si>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</si>
  <si>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</si>
  <si>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</si>
  <si>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</si>
  <si>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</si>
  <si>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</si>
  <si>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</si>
  <si>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</si>
  <si>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</si>
  <si>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</si>
  <si>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</si>
  <si>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</si>
  <si>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</si>
  <si>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</si>
  <si>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</si>
  <si>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</si>
  <si>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</si>
  <si>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</si>
  <si>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</si>
  <si>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</si>
  <si>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</si>
  <si>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</si>
  <si>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</si>
  <si>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</si>
  <si>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</si>
  <si>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</si>
  <si>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</si>
  <si>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</si>
  <si>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</si>
  <si>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</si>
  <si>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</si>
  <si>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</si>
  <si>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</si>
  <si>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</si>
  <si>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</si>
  <si>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</si>
  <si>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</si>
  <si>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</si>
  <si>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</si>
  <si>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</si>
  <si>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</si>
  <si>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</si>
  <si>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</si>
  <si>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</si>
  <si>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</si>
  <si>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</si>
  <si>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</si>
  <si>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</si>
  <si>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</si>
  <si>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</si>
  <si>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</si>
  <si>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</si>
  <si>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</si>
  <si>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</si>
  <si>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</si>
  <si>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</si>
  <si>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</si>
  <si>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</si>
  <si>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</si>
  <si>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</si>
  <si>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</si>
  <si>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</si>
  <si>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</si>
  <si>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</si>
  <si>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</si>
  <si>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</si>
  <si>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</si>
  <si>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</si>
  <si>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</si>
  <si>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</si>
  <si>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</si>
  <si>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</si>
  <si>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</si>
  <si>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</si>
  <si>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</si>
  <si>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</si>
  <si>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</si>
  <si>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</si>
  <si>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</si>
  <si>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</si>
  <si>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</si>
  <si>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</si>
  <si>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</si>
  <si>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</si>
  <si>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</si>
  <si>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</si>
  <si>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</si>
  <si>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</si>
  <si>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</si>
  <si>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</si>
  <si>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</si>
  <si>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</si>
  <si>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</si>
  <si>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</si>
  <si>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</si>
  <si>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</si>
  <si>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</si>
  <si>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</si>
  <si>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</si>
  <si>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</si>
  <si>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</si>
  <si>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</si>
  <si>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</si>
  <si>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</si>
  <si>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</si>
  <si>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</si>
  <si>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</si>
  <si>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</si>
  <si>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</si>
  <si>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</si>
  <si>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</si>
  <si>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</si>
  <si>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</si>
  <si>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</si>
  <si>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</si>
  <si>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</si>
  <si>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</si>
  <si>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</si>
  <si>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</si>
  <si>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</si>
  <si>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</si>
  <si>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</si>
  <si>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</si>
  <si>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</si>
  <si>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</si>
  <si>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</si>
  <si>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</si>
  <si>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</si>
  <si>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</si>
  <si>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</si>
  <si>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</si>
  <si>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</si>
  <si>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</si>
  <si>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</si>
  <si>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</si>
  <si>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</si>
  <si>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</si>
  <si>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</si>
  <si>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</si>
  <si>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</si>
  <si>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</si>
  <si>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</si>
  <si>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</si>
  <si>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</si>
  <si>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</si>
  <si>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</si>
  <si>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</si>
  <si>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</si>
  <si>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</si>
  <si>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</si>
  <si>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</si>
  <si>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</si>
  <si>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</si>
  <si>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</si>
  <si>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</si>
  <si>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</si>
  <si>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</si>
  <si>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</si>
  <si>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</si>
  <si>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</si>
  <si>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</si>
  <si>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</si>
  <si>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</si>
  <si>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</si>
  <si>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</si>
  <si>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</si>
  <si>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</si>
  <si>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</si>
  <si>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</si>
  <si>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</si>
  <si>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</si>
  <si>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</si>
  <si>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</si>
  <si>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</si>
  <si>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</si>
  <si>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</si>
  <si>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</si>
  <si>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</si>
  <si>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</si>
  <si>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</si>
  <si>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</si>
  <si>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</si>
  <si>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</si>
  <si>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</si>
  <si>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</si>
  <si>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</si>
  <si>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</si>
  <si>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</si>
  <si>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</si>
  <si>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</si>
  <si>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</si>
  <si>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</si>
  <si>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</si>
  <si>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</si>
  <si>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</si>
  <si>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</si>
  <si>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</si>
  <si>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</si>
  <si>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</si>
  <si>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</si>
  <si>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</si>
  <si>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</si>
  <si>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</si>
  <si>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</si>
  <si>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</si>
  <si>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</si>
  <si>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</si>
  <si>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</si>
  <si>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</si>
  <si>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</si>
  <si>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</si>
  <si>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</si>
  <si>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</si>
  <si>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</si>
  <si>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</si>
  <si>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</si>
  <si>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</si>
  <si>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</si>
  <si>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</si>
  <si>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</si>
  <si>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</si>
  <si>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</si>
  <si>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</si>
  <si>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</si>
  <si>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</si>
  <si>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</si>
  <si>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</si>
  <si>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</si>
  <si>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</si>
  <si>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</si>
  <si>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</si>
  <si>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</si>
  <si>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</si>
  <si>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</si>
  <si>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</si>
  <si>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</si>
  <si>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</si>
  <si>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</si>
  <si>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</si>
  <si>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</si>
  <si>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</si>
  <si>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</si>
  <si>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</si>
  <si>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</si>
  <si>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</si>
  <si>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</si>
  <si>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</si>
  <si>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</si>
  <si>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</si>
  <si>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</si>
  <si>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</si>
  <si>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</si>
  <si>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</si>
  <si>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</si>
  <si>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</si>
  <si>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</si>
  <si>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</si>
  <si>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</si>
  <si>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</si>
  <si>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</si>
  <si>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</si>
  <si>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</si>
  <si>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</si>
  <si>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</si>
  <si>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</si>
  <si>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</si>
  <si>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</si>
  <si>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</si>
  <si>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</si>
  <si>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</si>
  <si>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</si>
  <si>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</si>
  <si>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</si>
  <si>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</si>
  <si>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</si>
  <si>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</si>
  <si>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</si>
  <si>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</si>
  <si>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</si>
  <si>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</si>
  <si>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</si>
  <si>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</si>
  <si>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</si>
  <si>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</si>
  <si>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</si>
  <si>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</si>
  <si>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</si>
  <si>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</si>
  <si>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</si>
  <si>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</si>
  <si>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</si>
  <si>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</si>
  <si>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</si>
  <si>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</si>
  <si>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</si>
  <si>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</si>
  <si>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</si>
  <si>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</si>
  <si>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</si>
  <si>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</si>
  <si>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</si>
  <si>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</si>
  <si>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</si>
  <si>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</si>
  <si>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</si>
  <si>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</si>
  <si>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</si>
  <si>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</si>
  <si>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</si>
  <si>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</si>
  <si>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</si>
  <si>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</si>
  <si>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</si>
  <si>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</si>
  <si>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</si>
  <si>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</si>
  <si>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</si>
  <si>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</si>
  <si>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</si>
  <si>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</si>
  <si>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</si>
  <si>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</si>
  <si>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</si>
  <si>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</si>
  <si>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</si>
  <si>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</si>
  <si>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</si>
  <si>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</si>
  <si>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</si>
  <si>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</si>
  <si>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</si>
  <si>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</si>
  <si>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</si>
  <si>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</si>
  <si>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</si>
  <si>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</si>
  <si>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</si>
  <si>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</si>
  <si>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</si>
  <si>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</si>
  <si>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</si>
  <si>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</si>
  <si>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</si>
  <si>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</si>
  <si>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</si>
  <si>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</si>
  <si>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</si>
  <si>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</si>
  <si>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</si>
  <si>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</si>
  <si>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</si>
  <si>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</si>
  <si>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</si>
  <si>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</si>
  <si>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</si>
  <si>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</si>
  <si>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</si>
  <si>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</si>
  <si>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</si>
  <si>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</si>
  <si>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</si>
  <si>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</si>
  <si>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</si>
  <si>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</si>
  <si>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</si>
  <si>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</si>
  <si>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</si>
  <si>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</si>
  <si>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</si>
  <si>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</si>
  <si>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</si>
  <si>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</si>
  <si>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</si>
  <si>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</si>
  <si>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</si>
  <si>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</si>
  <si>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</si>
  <si>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</si>
  <si>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</si>
  <si>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</si>
  <si>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</si>
  <si>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</si>
  <si>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</si>
  <si>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</si>
  <si>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</si>
  <si>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</si>
  <si>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</si>
  <si>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</si>
  <si>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</si>
  <si>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</si>
  <si>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</si>
  <si>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</si>
  <si>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</si>
  <si>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</si>
  <si>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</si>
  <si>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</si>
  <si>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</si>
  <si>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</si>
  <si>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</si>
  <si>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</si>
  <si>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</si>
  <si>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</si>
  <si>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</si>
  <si>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</si>
  <si>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</si>
  <si>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</si>
  <si>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</si>
  <si>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</si>
  <si>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</si>
  <si>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</si>
  <si>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</si>
  <si>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</si>
  <si>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</si>
  <si>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</si>
  <si>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</si>
  <si>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</si>
  <si>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</si>
  <si>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</si>
  <si>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</si>
  <si>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</si>
  <si>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</si>
  <si>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</si>
  <si>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</si>
  <si>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</si>
  <si>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</si>
  <si>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</si>
  <si>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</si>
  <si>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</si>
  <si>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</si>
  <si>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</si>
  <si>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</si>
  <si>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</si>
  <si>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</si>
  <si>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</si>
  <si>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</si>
  <si>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</si>
  <si>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</si>
  <si>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</si>
  <si>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</si>
  <si>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</si>
  <si>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</si>
  <si>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</si>
  <si>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</si>
  <si>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</si>
  <si>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</si>
  <si>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</si>
  <si>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</si>
  <si>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</si>
  <si>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</si>
  <si>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</si>
  <si>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</si>
  <si>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</si>
  <si>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</si>
  <si>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</si>
  <si>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</si>
  <si>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</si>
  <si>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</si>
  <si>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</si>
  <si>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</si>
  <si>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</si>
  <si>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</si>
  <si>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</si>
  <si>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</si>
  <si>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</si>
  <si>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</si>
  <si>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</si>
  <si>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</si>
  <si>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</si>
  <si>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</si>
  <si>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</si>
  <si>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</si>
  <si>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</si>
  <si>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</si>
  <si>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</si>
  <si>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</si>
  <si>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</si>
  <si>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</si>
  <si>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</si>
  <si>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</si>
  <si>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</si>
  <si>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</si>
  <si>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</si>
  <si>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</si>
  <si>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</si>
  <si>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</si>
  <si>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</si>
  <si>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</si>
  <si>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</si>
  <si>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</si>
  <si>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</si>
  <si>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</si>
  <si>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</si>
  <si>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</si>
  <si>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</si>
  <si>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</si>
  <si>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</si>
  <si>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</si>
  <si>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</si>
  <si>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</si>
  <si>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</si>
  <si>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</si>
  <si>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</si>
  <si>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</si>
  <si>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</si>
  <si>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</si>
  <si>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</si>
  <si>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</si>
  <si>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</si>
  <si>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</si>
  <si>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</si>
  <si>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</si>
  <si>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</si>
  <si>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</si>
  <si>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</si>
  <si>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</si>
  <si>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</si>
  <si>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</si>
  <si>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</si>
  <si>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</si>
  <si>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</si>
  <si>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</si>
  <si>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</si>
  <si>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</si>
  <si>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</si>
  <si>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</si>
  <si>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</si>
  <si>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</si>
  <si>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</si>
  <si>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</si>
  <si>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</si>
  <si>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</si>
  <si>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</si>
  <si>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</si>
  <si>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</si>
  <si>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</si>
  <si>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</si>
  <si>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</si>
  <si>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</si>
  <si>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</si>
  <si>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</si>
  <si>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</si>
  <si>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</si>
  <si>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</si>
  <si>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</si>
  <si>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</si>
  <si>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</si>
  <si>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</si>
  <si>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</si>
  <si>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</si>
  <si>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</si>
  <si>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</si>
  <si>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</si>
  <si>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</si>
  <si>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</si>
  <si>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</si>
  <si>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</si>
  <si>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</si>
  <si>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</si>
  <si>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</si>
  <si>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</si>
  <si>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</si>
  <si>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</si>
  <si>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</si>
  <si>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</si>
  <si>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</si>
  <si>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</si>
  <si>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</si>
  <si>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</si>
  <si>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</si>
  <si>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</si>
  <si>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</si>
  <si>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</si>
  <si>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</si>
  <si>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</si>
  <si>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</si>
  <si>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</si>
  <si>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</si>
  <si>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</si>
  <si>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</si>
  <si>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</si>
  <si>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</si>
  <si>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</si>
  <si>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</si>
  <si>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</si>
  <si>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</si>
  <si>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</si>
  <si>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</si>
  <si>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</si>
  <si>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</si>
  <si>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</si>
  <si>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</si>
  <si>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</si>
  <si>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</si>
  <si>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</si>
  <si>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</si>
  <si>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</si>
  <si>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</si>
  <si>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</si>
  <si>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</si>
  <si>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</si>
  <si>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</si>
  <si>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</si>
  <si>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</si>
  <si>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</si>
  <si>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</si>
  <si>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</si>
  <si>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</si>
  <si>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</si>
  <si>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</si>
  <si>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</si>
  <si>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</si>
  <si>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</si>
  <si>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</si>
  <si>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</si>
  <si>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</si>
  <si>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</si>
  <si>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</si>
  <si>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</si>
  <si>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</si>
  <si>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</si>
  <si>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</si>
  <si>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</si>
  <si>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</si>
  <si>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</si>
  <si>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</si>
  <si>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</si>
  <si>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</si>
  <si>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</si>
  <si>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</si>
  <si>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</si>
  <si>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</si>
  <si>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</si>
  <si>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</si>
  <si>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</si>
  <si>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</si>
  <si>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</si>
  <si>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</si>
  <si>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</si>
  <si>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</si>
  <si>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</si>
  <si>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</si>
  <si>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</si>
  <si>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</si>
  <si>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</si>
  <si>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</si>
  <si>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</si>
  <si>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</si>
  <si>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</si>
  <si>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</si>
  <si>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</si>
  <si>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</si>
  <si>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</si>
  <si>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</si>
  <si>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</si>
  <si>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</si>
  <si>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</si>
  <si>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</si>
  <si>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</si>
  <si>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</si>
  <si>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</si>
  <si>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</si>
  <si>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</si>
  <si>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</si>
  <si>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</si>
  <si>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</si>
  <si>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</si>
  <si>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</si>
  <si>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</si>
  <si>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</si>
  <si>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</si>
  <si>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</si>
  <si>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</si>
  <si>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</si>
  <si>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</si>
  <si>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</si>
  <si>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</si>
  <si>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</si>
  <si>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</si>
  <si>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</si>
  <si>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</si>
  <si>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</si>
  <si>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</si>
  <si>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</si>
  <si>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</si>
  <si>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</si>
  <si>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</si>
  <si>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</si>
  <si>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</si>
  <si>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</si>
  <si>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</si>
  <si>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</si>
  <si>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</si>
  <si>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</si>
  <si>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</si>
  <si>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</si>
  <si>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</si>
  <si>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</si>
  <si>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</si>
  <si>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</si>
  <si>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</si>
  <si>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</si>
  <si>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</si>
  <si>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</si>
  <si>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</si>
  <si>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</si>
  <si>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</si>
  <si>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</si>
  <si>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</si>
  <si>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</si>
  <si>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</si>
  <si>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</si>
  <si>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</si>
  <si>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</si>
  <si>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</si>
  <si>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</si>
  <si>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</si>
  <si>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</si>
  <si>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</si>
  <si>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</si>
  <si>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</si>
  <si>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</si>
  <si>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</si>
  <si>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</si>
  <si>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</si>
  <si>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</si>
  <si>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</si>
  <si>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</si>
  <si>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</si>
  <si>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</si>
  <si>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</si>
  <si>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</si>
  <si>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</si>
  <si>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</si>
  <si>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</si>
  <si>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</si>
  <si>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</si>
  <si>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</si>
  <si>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</si>
  <si>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</si>
  <si>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</si>
  <si>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</si>
  <si>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</si>
  <si>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</si>
  <si>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</si>
  <si>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</si>
  <si>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</si>
  <si>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</si>
  <si>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</si>
  <si>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</si>
  <si>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</si>
  <si>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</si>
  <si>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</si>
  <si>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</si>
  <si>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</si>
  <si>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</si>
  <si>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</si>
  <si>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</si>
  <si>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</si>
  <si>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</si>
  <si>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</si>
  <si>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</si>
  <si>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</si>
  <si>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</si>
  <si>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</si>
  <si>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</si>
  <si>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</si>
  <si>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</si>
  <si>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</si>
  <si>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</si>
  <si>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</si>
  <si>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</si>
  <si>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</si>
  <si>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</si>
  <si>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</si>
  <si>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</si>
  <si>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</si>
  <si>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</si>
  <si>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</si>
  <si>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</si>
  <si>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</si>
  <si>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</si>
  <si>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</si>
  <si>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</si>
  <si>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</si>
  <si>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</si>
  <si>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</si>
  <si>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</si>
  <si>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</si>
  <si>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</si>
  <si>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</si>
  <si>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</si>
  <si>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</si>
  <si>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</si>
  <si>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</si>
  <si>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</si>
  <si>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</si>
  <si>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</si>
  <si>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</si>
  <si>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</si>
  <si>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</si>
  <si>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</si>
  <si>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</si>
  <si>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</si>
  <si>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</si>
  <si>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</si>
  <si>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</si>
  <si>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</si>
  <si>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</si>
  <si>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</si>
  <si>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</si>
  <si>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</si>
  <si>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</si>
  <si>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</si>
  <si>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</si>
  <si>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</si>
  <si>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</si>
  <si>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</si>
  <si>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</si>
  <si>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</si>
  <si>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</si>
  <si>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</si>
  <si>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</si>
  <si>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</si>
  <si>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</si>
  <si>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</si>
  <si>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</si>
  <si>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</si>
  <si>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</si>
  <si>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</si>
  <si>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</si>
  <si>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</si>
  <si>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</si>
  <si>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</si>
  <si>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</si>
  <si>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</si>
  <si>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</si>
  <si>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</si>
  <si>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</si>
  <si>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</si>
  <si>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</si>
  <si>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</si>
  <si>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</si>
  <si>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</si>
  <si>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</si>
  <si>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</si>
  <si>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</si>
  <si>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</si>
  <si>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</si>
  <si>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</si>
  <si>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</si>
  <si>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</si>
  <si>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</si>
  <si>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</si>
  <si>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</si>
  <si>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</si>
  <si>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</si>
  <si>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</si>
  <si>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</si>
  <si>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</si>
  <si>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</si>
  <si>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</si>
  <si>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</si>
  <si>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</si>
  <si>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</si>
  <si>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</si>
  <si>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</si>
  <si>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</si>
  <si>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</si>
  <si>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</si>
  <si>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</si>
  <si>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</si>
  <si>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</si>
  <si>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</si>
  <si>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</si>
  <si>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</si>
  <si>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</si>
  <si>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</si>
  <si>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</si>
  <si>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</si>
  <si>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</si>
  <si>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</si>
  <si>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</si>
  <si>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</si>
  <si>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</si>
  <si>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</si>
  <si>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</si>
  <si>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</si>
  <si>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</si>
  <si>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</si>
  <si>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</si>
  <si>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</si>
  <si>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</si>
  <si>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</si>
  <si>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</si>
  <si>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</si>
  <si>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</si>
  <si>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</si>
  <si>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</si>
  <si>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</si>
  <si>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</si>
  <si>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</si>
  <si>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</si>
  <si>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</si>
  <si>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</si>
  <si>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</si>
  <si>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</si>
  <si>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</si>
  <si>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</si>
  <si>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</si>
  <si>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</si>
  <si>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</si>
  <si>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</si>
  <si>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</si>
  <si>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</si>
  <si>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</si>
  <si>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</si>
  <si>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</si>
  <si>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</si>
  <si>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</si>
  <si>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</si>
  <si>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</si>
  <si>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</si>
  <si>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</si>
  <si>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</si>
  <si>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</si>
  <si>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</si>
  <si>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</si>
  <si>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</si>
  <si>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</si>
  <si>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</si>
  <si>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</si>
  <si>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</si>
  <si>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</si>
  <si>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</si>
  <si>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</si>
  <si>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</si>
  <si>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</si>
  <si>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</si>
  <si>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</si>
  <si>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</si>
  <si>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</si>
  <si>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</si>
  <si>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</si>
  <si>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</si>
  <si>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</si>
  <si>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</si>
  <si>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</si>
  <si>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</si>
  <si>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</si>
  <si>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</si>
  <si>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</si>
  <si>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</si>
  <si>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</si>
  <si>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</si>
  <si>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</si>
  <si>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</si>
  <si>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</si>
  <si>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</si>
  <si>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</si>
  <si>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</si>
  <si>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</si>
  <si>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</si>
  <si>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</si>
  <si>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</si>
  <si>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</si>
  <si>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</si>
  <si>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</si>
  <si>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</si>
  <si>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</si>
  <si>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</si>
  <si>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</si>
  <si>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</si>
  <si>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</si>
  <si>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</si>
  <si>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</si>
  <si>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</si>
  <si>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</si>
  <si>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</si>
  <si>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</si>
  <si>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</si>
  <si>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</si>
  <si>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</si>
  <si>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</si>
  <si>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</si>
  <si>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</si>
  <si>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</si>
  <si>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</si>
  <si>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</si>
  <si>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</si>
  <si>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</si>
  <si>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</si>
  <si>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</si>
  <si>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</si>
  <si>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</si>
  <si>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</si>
  <si>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</si>
  <si>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</si>
  <si>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</si>
  <si>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</si>
  <si>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</si>
  <si>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</si>
  <si>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</si>
  <si>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</si>
  <si>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</si>
  <si>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</si>
  <si>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</si>
  <si>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</si>
  <si>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</si>
  <si>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</si>
  <si>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</si>
  <si>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</si>
  <si>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</si>
  <si>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</si>
  <si>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</si>
  <si>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</si>
  <si>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</si>
  <si>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</si>
  <si>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</si>
  <si>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</si>
  <si>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</si>
  <si>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</si>
  <si>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</si>
  <si>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</si>
  <si>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</si>
  <si>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</si>
  <si>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</si>
  <si>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</si>
  <si>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</si>
  <si>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</si>
  <si>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</si>
  <si>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</si>
  <si>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</si>
  <si>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</si>
  <si>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</si>
  <si>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</si>
  <si>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</si>
  <si>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</si>
  <si>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</si>
  <si>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</si>
  <si>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</si>
  <si>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</si>
  <si>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</si>
  <si>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</si>
  <si>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</si>
  <si>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</si>
  <si>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</si>
  <si>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</si>
  <si>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</si>
  <si>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</si>
  <si>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</si>
  <si>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</si>
  <si>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</si>
  <si>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</si>
  <si>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</si>
  <si>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</si>
  <si>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</si>
  <si>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</si>
  <si>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</si>
  <si>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</si>
  <si>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</si>
  <si>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</si>
  <si>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</si>
  <si>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</si>
  <si>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</si>
  <si>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</si>
  <si>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</si>
  <si>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</si>
  <si>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</si>
  <si>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</si>
  <si>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</si>
  <si>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</si>
  <si>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</si>
  <si>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</si>
  <si>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</si>
  <si>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</si>
  <si>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</si>
  <si>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</si>
  <si>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</si>
  <si>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</si>
  <si>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</si>
  <si>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</si>
  <si>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</si>
  <si>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</si>
  <si>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</si>
  <si>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</si>
  <si>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</si>
  <si>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</si>
  <si>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</si>
  <si>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</si>
  <si>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</si>
  <si>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</si>
  <si>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</si>
  <si>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</si>
  <si>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</si>
  <si>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</si>
  <si>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</si>
  <si>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</si>
  <si>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</si>
  <si>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</si>
  <si>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</si>
  <si>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</si>
  <si>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</si>
  <si>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</si>
  <si>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</si>
  <si>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</si>
  <si>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</si>
  <si>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</si>
  <si>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</si>
  <si>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</si>
  <si>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</si>
  <si>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</si>
  <si>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</si>
  <si>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</si>
  <si>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</si>
  <si>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</si>
  <si>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</si>
  <si>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</si>
  <si>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</si>
  <si>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</si>
  <si>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</si>
  <si>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</si>
  <si>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</si>
  <si>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</si>
  <si>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</si>
  <si>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</si>
  <si>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</si>
  <si>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</si>
  <si>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</si>
  <si>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</si>
  <si>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</si>
  <si>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</si>
  <si>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</si>
  <si>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</si>
  <si>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</si>
  <si>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</si>
  <si>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</si>
  <si>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</si>
  <si>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</si>
  <si>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</si>
  <si>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</si>
  <si>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</si>
  <si>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</si>
  <si>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</si>
  <si>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</si>
  <si>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</si>
  <si>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</si>
  <si>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</si>
  <si>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</si>
  <si>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</si>
  <si>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</si>
  <si>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</si>
  <si>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</si>
  <si>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</si>
  <si>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</si>
  <si>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</si>
  <si>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</si>
  <si>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</si>
  <si>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</si>
  <si>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</si>
  <si>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</si>
  <si>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</si>
  <si>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</si>
  <si>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</si>
  <si>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</si>
  <si>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</si>
  <si>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</si>
  <si>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</si>
  <si>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</si>
  <si>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</si>
  <si>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</si>
  <si>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</si>
  <si>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</si>
  <si>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</si>
  <si>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</si>
  <si>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</si>
  <si>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</si>
  <si>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</si>
  <si>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</si>
  <si>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</si>
  <si>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</si>
  <si>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</si>
  <si>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</si>
  <si>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</si>
  <si>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</si>
  <si>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</si>
  <si>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</si>
  <si>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</si>
  <si>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</si>
  <si>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</si>
  <si>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</si>
  <si>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</si>
  <si>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</si>
  <si>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</si>
  <si>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</si>
  <si>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</si>
  <si>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</si>
  <si>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</si>
  <si>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</si>
  <si>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</si>
  <si>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</si>
  <si>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</si>
  <si>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</si>
  <si>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</si>
  <si>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</si>
  <si>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</si>
  <si>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</si>
  <si>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</si>
  <si>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</si>
  <si>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</si>
  <si>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</si>
  <si>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</si>
  <si>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</si>
  <si>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</si>
  <si>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</si>
  <si>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</si>
  <si>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</si>
  <si>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</si>
  <si>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</si>
  <si>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</si>
  <si>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</si>
  <si>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</si>
  <si>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</si>
  <si>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</si>
  <si>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</si>
  <si>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</si>
  <si>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</si>
  <si>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</si>
  <si>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</si>
  <si>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</si>
  <si>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</si>
  <si>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</si>
  <si>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</si>
  <si>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</si>
  <si>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</si>
  <si>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</si>
  <si>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</si>
  <si>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</si>
  <si>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</si>
  <si>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</si>
  <si>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</si>
  <si>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</si>
  <si>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</si>
  <si>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</si>
  <si>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</si>
  <si>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</si>
  <si>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</si>
  <si>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</si>
  <si>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</si>
  <si>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</si>
  <si>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</si>
  <si>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</si>
  <si>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</si>
  <si>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</si>
  <si>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</si>
  <si>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</si>
  <si>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</si>
  <si>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</si>
  <si>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</si>
  <si>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</si>
  <si>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</si>
  <si>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</si>
  <si>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</si>
  <si>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</si>
  <si>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</si>
  <si>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</si>
  <si>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</si>
  <si>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</si>
  <si>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</si>
  <si>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</si>
  <si>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</si>
  <si>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</si>
  <si>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</si>
  <si>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</si>
  <si>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</si>
  <si>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</si>
  <si>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</si>
  <si>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</si>
  <si>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</si>
  <si>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</si>
  <si>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</si>
  <si>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</si>
  <si>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</si>
  <si>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</si>
  <si>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</si>
  <si>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</si>
  <si>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</si>
  <si>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</si>
  <si>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</si>
  <si>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</si>
  <si>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</si>
  <si>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</si>
  <si>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</si>
  <si>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</si>
  <si>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</si>
  <si>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</si>
  <si>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</si>
  <si>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</si>
  <si>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</si>
  <si>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</si>
  <si>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</si>
  <si>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</si>
  <si>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</si>
  <si>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</si>
  <si>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</si>
  <si>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</si>
  <si>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</si>
  <si>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</si>
  <si>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</si>
  <si>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</si>
  <si>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</si>
  <si>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</si>
  <si>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</si>
  <si>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</si>
  <si>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</si>
  <si>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</si>
  <si>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</si>
  <si>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</si>
  <si>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</si>
  <si>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</si>
  <si>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</si>
  <si>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</si>
  <si>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</si>
  <si>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</si>
  <si>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</si>
  <si>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</si>
  <si>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</si>
  <si>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</si>
  <si>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</si>
  <si>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</si>
  <si>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</si>
  <si>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</si>
  <si>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</si>
  <si>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</si>
  <si>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</si>
  <si>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</si>
  <si>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</si>
  <si>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</si>
  <si>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</si>
  <si>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</si>
  <si>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</si>
  <si>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</si>
  <si>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</si>
  <si>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</si>
  <si>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</si>
  <si>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</si>
  <si>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</si>
  <si>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</si>
  <si>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</si>
  <si>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</si>
  <si>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</si>
  <si>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</si>
  <si>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</si>
  <si>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</si>
  <si>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</si>
  <si>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</si>
  <si>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</si>
  <si>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</si>
  <si>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</si>
  <si>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</si>
  <si>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</si>
  <si>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</si>
  <si>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</si>
  <si>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</si>
  <si>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</si>
  <si>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</si>
  <si>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</si>
  <si>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</si>
  <si>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</si>
  <si>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</si>
  <si>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</si>
  <si>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</si>
  <si>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</si>
  <si>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</si>
  <si>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</si>
  <si>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</si>
  <si>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</si>
  <si>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</si>
  <si>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</si>
  <si>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</si>
  <si>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</si>
  <si>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</si>
  <si>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</si>
  <si>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</si>
  <si>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</si>
  <si>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</si>
  <si>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</si>
  <si>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</si>
  <si>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</si>
  <si>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</si>
  <si>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</si>
  <si>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</si>
  <si>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</si>
  <si>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</si>
  <si>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</si>
  <si>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</si>
  <si>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</si>
  <si>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</si>
  <si>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</si>
  <si>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</si>
  <si>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</si>
  <si>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</si>
  <si>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</si>
  <si>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</si>
  <si>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</si>
  <si>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</si>
  <si>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</si>
  <si>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</si>
  <si>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</si>
  <si>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</si>
  <si>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</si>
  <si>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</si>
  <si>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</si>
  <si>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</si>
  <si>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</si>
  <si>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</si>
  <si>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</si>
  <si>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</si>
  <si>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</si>
  <si>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</si>
  <si>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</si>
  <si>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</si>
  <si>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</si>
  <si>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</si>
  <si>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</si>
  <si>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</si>
  <si>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</si>
  <si>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</si>
  <si>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</si>
  <si>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</si>
  <si>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</si>
  <si>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</si>
  <si>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</si>
  <si>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</si>
  <si>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</si>
  <si>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</si>
  <si>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</si>
  <si>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</si>
  <si>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</si>
  <si>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</si>
  <si>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</si>
  <si>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</si>
  <si>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</si>
  <si>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</si>
  <si>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</si>
  <si>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</si>
  <si>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</si>
  <si>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</si>
  <si>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</si>
  <si>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</si>
  <si>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</si>
  <si>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</si>
  <si>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</si>
  <si>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</si>
  <si>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</si>
  <si>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</si>
  <si>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</si>
  <si>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</si>
  <si>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</si>
  <si>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</si>
  <si>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</si>
  <si>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</si>
  <si>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</si>
  <si>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</si>
  <si>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</si>
  <si>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</si>
  <si>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</si>
  <si>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</si>
  <si>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</si>
  <si>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</si>
  <si>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</si>
  <si>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</si>
  <si>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</si>
  <si>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</si>
  <si>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</si>
  <si>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</si>
  <si>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</si>
  <si>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</si>
  <si>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</si>
  <si>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</si>
  <si>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</si>
  <si>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</si>
  <si>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</si>
  <si>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</si>
  <si>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</si>
  <si>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</si>
  <si>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</si>
  <si>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</si>
  <si>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</si>
  <si>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</si>
  <si>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</si>
  <si>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</si>
  <si>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</si>
  <si>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</si>
  <si>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</si>
  <si>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</si>
  <si>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</si>
  <si>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</si>
  <si>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</si>
  <si>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</si>
  <si>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</si>
  <si>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</si>
  <si>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</si>
  <si>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</si>
  <si>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</si>
  <si>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</si>
  <si>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</si>
  <si>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</si>
  <si>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</si>
  <si>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</si>
  <si>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</si>
  <si>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</si>
  <si>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</si>
  <si>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</si>
  <si>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</si>
  <si>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</si>
  <si>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</si>
  <si>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</si>
  <si>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</si>
  <si>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</si>
  <si>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</si>
  <si>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</si>
  <si>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</si>
  <si>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</si>
  <si>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</si>
  <si>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</si>
  <si>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</si>
  <si>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</si>
  <si>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</si>
  <si>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</si>
  <si>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</si>
  <si>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</si>
  <si>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</si>
  <si>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</si>
  <si>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</si>
  <si>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</si>
  <si>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</si>
  <si>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</si>
  <si>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</si>
  <si>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</si>
  <si>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</si>
  <si>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</si>
  <si>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</si>
  <si>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</si>
  <si>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</si>
  <si>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</si>
  <si>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</si>
  <si>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</si>
  <si>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</si>
  <si>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</si>
  <si>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</si>
  <si>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</si>
  <si>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</si>
  <si>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</si>
  <si>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</si>
  <si>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</si>
  <si>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</si>
  <si>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</si>
  <si>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</si>
  <si>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</si>
  <si>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</si>
  <si>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</si>
  <si>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</si>
  <si>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</si>
  <si>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</si>
  <si>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</si>
  <si>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</si>
  <si>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</si>
  <si>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</si>
  <si>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</si>
  <si>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</si>
  <si>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</si>
  <si>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</si>
  <si>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</si>
  <si>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</si>
  <si>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</si>
  <si>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</si>
  <si>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</si>
  <si>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</si>
  <si>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</si>
  <si>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</si>
  <si>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</si>
  <si>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</si>
  <si>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</si>
  <si>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</si>
  <si>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</si>
  <si>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</si>
  <si>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</si>
  <si>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</si>
  <si>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</si>
  <si>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</si>
  <si>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</si>
  <si>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</si>
  <si>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</si>
  <si>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</si>
  <si>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</si>
  <si>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</si>
  <si>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</si>
  <si>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</si>
  <si>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</si>
  <si>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</si>
  <si>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</si>
  <si>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</si>
  <si>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</si>
  <si>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</si>
  <si>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</si>
  <si>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</si>
  <si>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</si>
  <si>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</si>
  <si>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</si>
  <si>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</si>
  <si>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</si>
  <si>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</si>
  <si>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</si>
  <si>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</si>
  <si>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</si>
  <si>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</si>
  <si>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</si>
  <si>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</si>
  <si>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</si>
  <si>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</si>
  <si>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</si>
  <si>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</si>
  <si>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</si>
  <si>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</si>
  <si>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</si>
  <si>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</si>
  <si>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</si>
  <si>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</si>
  <si>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</si>
  <si>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</si>
  <si>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</si>
  <si>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</si>
  <si>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</si>
  <si>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</si>
  <si>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</si>
  <si>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</si>
  <si>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</si>
  <si>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</si>
  <si>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</si>
  <si>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</si>
  <si>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</si>
  <si>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</si>
  <si>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</si>
  <si>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</si>
  <si>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</si>
  <si>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</si>
  <si>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</si>
  <si>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</si>
  <si>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</si>
  <si>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</si>
  <si>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</si>
  <si>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</si>
  <si>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</si>
  <si>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</si>
  <si>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</si>
  <si>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</si>
  <si>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</si>
  <si>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</si>
  <si>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</si>
  <si>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</si>
  <si>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</si>
  <si>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</si>
  <si>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</si>
  <si>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</si>
  <si>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</si>
  <si>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</si>
  <si>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</si>
  <si>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</si>
  <si>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</si>
  <si>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</si>
  <si>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</si>
  <si>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</si>
  <si>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</si>
  <si>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</si>
  <si>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</si>
  <si>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</si>
  <si>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</si>
  <si>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</si>
  <si>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</si>
  <si>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</si>
  <si>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</si>
  <si>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</si>
  <si>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</si>
  <si>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</si>
  <si>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</si>
  <si>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</si>
  <si>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</si>
  <si>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</si>
  <si>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</si>
  <si>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</si>
  <si>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</si>
  <si>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</si>
  <si>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</si>
  <si>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</si>
  <si>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</si>
  <si>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</si>
  <si>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</si>
  <si>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</si>
  <si>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</si>
  <si>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</si>
  <si>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</si>
  <si>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</si>
  <si>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</si>
  <si>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</si>
  <si>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</si>
  <si>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</si>
  <si>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</si>
  <si>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</si>
  <si>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</si>
  <si>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</si>
  <si>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</si>
  <si>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</si>
  <si>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</si>
  <si>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</si>
  <si>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</si>
  <si>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</si>
  <si>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</si>
  <si>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</si>
  <si>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</si>
  <si>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</si>
  <si>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</si>
  <si>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</si>
  <si>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</si>
  <si>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</si>
  <si>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</si>
  <si>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</si>
  <si>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</si>
  <si>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</si>
  <si>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</si>
  <si>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</si>
  <si>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</si>
  <si>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</si>
  <si>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</si>
  <si>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</si>
  <si>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</si>
  <si>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</si>
  <si>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</si>
  <si>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</si>
  <si>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</si>
  <si>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</si>
  <si>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</si>
  <si>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</si>
  <si>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</si>
  <si>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</si>
  <si>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</si>
  <si>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</si>
  <si>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</si>
  <si>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</si>
  <si>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</si>
  <si>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</si>
  <si>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</si>
  <si>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</si>
  <si>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</si>
  <si>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</si>
  <si>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</si>
  <si>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</si>
  <si>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</si>
  <si>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</si>
  <si>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</si>
  <si>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</si>
  <si>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</si>
  <si>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</si>
  <si>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</si>
  <si>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</si>
  <si>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</si>
  <si>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</si>
  <si>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</si>
  <si>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</si>
  <si>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</si>
  <si>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</si>
  <si>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</si>
  <si>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</si>
  <si>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</si>
  <si>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</si>
  <si>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</si>
  <si>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</si>
  <si>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</si>
  <si>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</si>
  <si>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</si>
  <si>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</si>
  <si>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</si>
  <si>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</si>
  <si>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</si>
  <si>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</si>
  <si>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</si>
  <si>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</si>
  <si>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</si>
  <si>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</si>
  <si>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</si>
  <si>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</si>
  <si>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</si>
  <si>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</si>
  <si>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</si>
  <si>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</si>
  <si>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</si>
  <si>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</si>
  <si>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</si>
  <si>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</si>
  <si>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</si>
  <si>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</si>
  <si>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</si>
  <si>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</si>
  <si>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</si>
  <si>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</si>
  <si>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</si>
  <si>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</si>
  <si>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</si>
  <si>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</si>
  <si>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</si>
  <si>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</si>
  <si>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</si>
  <si>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</si>
  <si>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</si>
  <si>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</si>
  <si>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</si>
  <si>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</si>
  <si>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</si>
  <si>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</si>
  <si>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</si>
  <si>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</si>
  <si>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</si>
  <si>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</si>
  <si>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</si>
  <si>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</si>
  <si>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</si>
  <si>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</si>
  <si>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</si>
  <si>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</si>
  <si>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</si>
  <si>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</si>
  <si>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</si>
  <si>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</si>
  <si>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</si>
  <si>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</si>
  <si>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</si>
  <si>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</si>
  <si>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</si>
  <si>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</si>
  <si>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</si>
  <si>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</si>
  <si>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</si>
  <si>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</si>
  <si>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</si>
  <si>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</si>
  <si>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</si>
  <si>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</si>
  <si>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</si>
  <si>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</si>
  <si>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</si>
  <si>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</si>
  <si>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</si>
  <si>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</si>
  <si>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</si>
  <si>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</si>
  <si>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</si>
  <si>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</si>
  <si>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</si>
  <si>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</si>
  <si>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</si>
  <si>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</si>
  <si>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</si>
  <si>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</si>
  <si>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</si>
  <si>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</si>
  <si>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</si>
  <si>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</si>
  <si>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</si>
  <si>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</si>
  <si>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</si>
  <si>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</si>
  <si>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</si>
  <si>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</si>
  <si>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</si>
  <si>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</si>
  <si>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</si>
  <si>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</si>
  <si>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</si>
  <si>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</si>
  <si>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</si>
  <si>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</si>
  <si>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</si>
  <si>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</si>
  <si>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</si>
  <si>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</si>
  <si>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</si>
  <si>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</si>
  <si>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</si>
  <si>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</si>
  <si>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</si>
  <si>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</si>
  <si>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</si>
  <si>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</si>
  <si>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</si>
  <si>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</si>
  <si>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</si>
  <si>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</si>
  <si>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</si>
  <si>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</si>
  <si>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</si>
  <si>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</si>
  <si>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</si>
  <si>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</si>
  <si>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</si>
  <si>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</si>
  <si>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</si>
  <si>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</si>
  <si>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</si>
  <si>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</si>
  <si>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</si>
  <si>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</si>
  <si>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</si>
  <si>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</si>
  <si>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</si>
  <si>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</si>
  <si>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</si>
  <si>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</si>
  <si>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</si>
  <si>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</si>
  <si>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</si>
  <si>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</si>
  <si>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</si>
  <si>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</si>
  <si>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</si>
  <si>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</si>
  <si>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</si>
  <si>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</si>
  <si>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</si>
  <si>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</si>
  <si>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</si>
  <si>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</si>
  <si>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</si>
  <si>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</si>
  <si>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</si>
  <si>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</si>
  <si>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</si>
  <si>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</si>
  <si>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</si>
  <si>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</si>
  <si>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</si>
  <si>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</si>
  <si>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</si>
  <si>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</si>
  <si>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</si>
  <si>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</si>
  <si>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</si>
  <si>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</si>
  <si>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</si>
  <si>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</si>
  <si>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</si>
  <si>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</si>
  <si>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</si>
  <si>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</si>
  <si>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</si>
  <si>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</si>
  <si>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</si>
  <si>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</si>
  <si>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</si>
  <si>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</si>
  <si>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</si>
  <si>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</si>
  <si>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</si>
  <si>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</si>
  <si>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</si>
  <si>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</si>
  <si>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</si>
  <si>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</si>
  <si>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</si>
  <si>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</si>
  <si>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</si>
  <si>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</si>
  <si>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</si>
  <si>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</si>
  <si>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</si>
  <si>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</si>
  <si>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</si>
  <si>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</si>
  <si>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</si>
  <si>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</si>
  <si>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</si>
  <si>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</si>
  <si>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</si>
  <si>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</si>
  <si>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</si>
  <si>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</si>
  <si>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</si>
  <si>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</si>
  <si>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</si>
  <si>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</si>
  <si>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</si>
  <si>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</si>
  <si>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</si>
  <si>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</si>
  <si>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</si>
  <si>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</si>
  <si>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</si>
  <si>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</si>
  <si>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</si>
  <si>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</si>
  <si>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</si>
  <si>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</si>
  <si>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</si>
  <si>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</si>
  <si>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</si>
  <si>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</si>
  <si>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</si>
  <si>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</si>
  <si>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</si>
  <si>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</si>
  <si>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</si>
  <si>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</si>
  <si>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</si>
  <si>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</si>
  <si>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</si>
  <si>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</si>
  <si>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</si>
  <si>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</si>
  <si>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</si>
  <si>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</si>
  <si>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</si>
  <si>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</si>
  <si>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</si>
  <si>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</si>
  <si>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</si>
  <si>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</si>
  <si>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</si>
  <si>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</si>
  <si>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</si>
  <si>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</si>
  <si>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</si>
  <si>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</si>
  <si>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</si>
  <si>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</si>
  <si>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</si>
  <si>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</si>
  <si>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</si>
  <si>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</si>
  <si>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</si>
  <si>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</si>
  <si>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</si>
  <si>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</si>
  <si>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</si>
  <si>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</si>
  <si>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</si>
  <si>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</si>
  <si>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</si>
  <si>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</si>
  <si>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</si>
  <si>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</si>
  <si>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</si>
  <si>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</si>
  <si>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</si>
  <si>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</si>
  <si>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</si>
  <si>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</si>
  <si>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</si>
  <si>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</si>
  <si>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</si>
  <si>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</si>
  <si>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</si>
  <si>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</si>
  <si>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</si>
  <si>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</si>
  <si>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</si>
  <si>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</si>
  <si>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</si>
  <si>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</si>
  <si>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</si>
  <si>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</si>
  <si>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</si>
  <si>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</si>
  <si>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</si>
  <si>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</si>
  <si>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</si>
  <si>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</si>
  <si>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</si>
  <si>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</si>
  <si>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</si>
  <si>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</si>
  <si>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</si>
  <si>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</si>
  <si>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</si>
  <si>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</si>
  <si>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</si>
  <si>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</si>
  <si>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</si>
  <si>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</si>
  <si>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</si>
  <si>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</si>
  <si>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</si>
  <si>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</si>
  <si>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</si>
  <si>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</si>
  <si>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</si>
  <si>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</si>
  <si>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</si>
  <si>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</si>
  <si>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</si>
  <si>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</si>
  <si>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</si>
  <si>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</si>
  <si>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</si>
  <si>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</si>
  <si>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</si>
  <si>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</si>
  <si>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</si>
  <si>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</si>
  <si>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</si>
  <si>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</si>
  <si>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</si>
  <si>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</si>
  <si>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</si>
  <si>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</si>
  <si>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</si>
  <si>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</si>
  <si>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</si>
  <si>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</si>
  <si>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</si>
  <si>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</si>
  <si>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</si>
  <si>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</si>
  <si>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</si>
  <si>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</si>
  <si>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</si>
  <si>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</si>
  <si>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</si>
  <si>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</si>
  <si>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</si>
  <si>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</si>
  <si>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</si>
  <si>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</si>
  <si>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</si>
  <si>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</si>
  <si>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</si>
  <si>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</si>
  <si>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</si>
  <si>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</si>
  <si>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</si>
  <si>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</si>
  <si>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</si>
  <si>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</si>
  <si>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</si>
  <si>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</si>
  <si>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</si>
  <si>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</si>
  <si>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</si>
  <si>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</si>
  <si>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</si>
  <si>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</si>
  <si>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</si>
  <si>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</si>
  <si>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</si>
  <si>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</si>
  <si>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</si>
  <si>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</si>
  <si>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</si>
  <si>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</si>
  <si>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</si>
  <si>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</si>
  <si>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</si>
  <si>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</si>
  <si>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</si>
  <si>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</si>
  <si>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</si>
  <si>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</si>
  <si>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</si>
  <si>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</si>
  <si>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</si>
  <si>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</si>
  <si>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</si>
  <si>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</si>
  <si>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</si>
  <si>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</si>
  <si>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</si>
  <si>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</si>
  <si>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</si>
  <si>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</si>
  <si>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</si>
  <si>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</si>
  <si>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</si>
  <si>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</si>
  <si>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</si>
  <si>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</si>
  <si>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</si>
  <si>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</si>
  <si>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</si>
  <si>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</si>
  <si>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</si>
  <si>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</si>
  <si>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</si>
  <si>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</si>
  <si>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</si>
  <si>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</si>
  <si>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</si>
  <si>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</si>
  <si>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</si>
  <si>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</si>
  <si>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</si>
  <si>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</si>
  <si>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</si>
  <si>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</si>
  <si>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</si>
  <si>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</si>
  <si>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</si>
  <si>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</si>
  <si>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</si>
  <si>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</si>
  <si>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</si>
  <si>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</si>
  <si>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</si>
  <si>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</si>
  <si>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</si>
  <si>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</si>
  <si>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</si>
  <si>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</si>
  <si>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</si>
  <si>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</si>
  <si>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</si>
  <si>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</si>
  <si>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</si>
  <si>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</si>
  <si>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</si>
  <si>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</si>
  <si>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</si>
  <si>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</si>
  <si>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</si>
  <si>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</si>
  <si>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</si>
  <si>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</si>
  <si>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</si>
  <si>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</si>
  <si>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</si>
  <si>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</si>
  <si>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</si>
  <si>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</si>
  <si>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</si>
  <si>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</si>
  <si>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</si>
  <si>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</si>
  <si>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</si>
  <si>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</si>
  <si>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</si>
  <si>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</si>
  <si>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</si>
  <si>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</si>
  <si>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</si>
  <si>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</si>
  <si>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</si>
  <si>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</si>
  <si>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</si>
  <si>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</si>
  <si>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</si>
  <si>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</si>
  <si>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</si>
  <si>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</si>
  <si>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</si>
  <si>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</si>
  <si>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</si>
  <si>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</si>
  <si>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</si>
  <si>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</si>
  <si>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</si>
  <si>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</si>
  <si>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</si>
  <si>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</si>
  <si>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</si>
  <si>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</si>
  <si>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</si>
  <si>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</si>
  <si>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</si>
  <si>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</si>
  <si>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</si>
  <si>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</si>
  <si>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</si>
  <si>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</si>
  <si>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</si>
  <si>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</si>
  <si>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</si>
  <si>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</si>
  <si>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</si>
  <si>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</si>
  <si>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</si>
  <si>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</si>
  <si>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</si>
  <si>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</si>
  <si>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</si>
  <si>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</si>
  <si>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</si>
  <si>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</si>
  <si>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</si>
  <si>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</si>
  <si>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</si>
  <si>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</si>
  <si>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</si>
  <si>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</si>
  <si>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</si>
  <si>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</si>
  <si>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</si>
  <si>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</si>
  <si>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</si>
  <si>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</si>
  <si>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</si>
  <si>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</si>
  <si>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</si>
  <si>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</si>
  <si>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</si>
  <si>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</si>
  <si>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</si>
  <si>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</si>
  <si>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</si>
  <si>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</si>
  <si>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</si>
  <si>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</si>
  <si>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</si>
  <si>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</si>
  <si>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</si>
  <si>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</si>
  <si>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</si>
  <si>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</si>
  <si>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</si>
  <si>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</si>
  <si>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</si>
  <si>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</si>
  <si>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</si>
  <si>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</si>
  <si>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</si>
  <si>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</si>
  <si>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</si>
  <si>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</si>
  <si>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</si>
  <si>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</si>
  <si>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</si>
  <si>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</si>
  <si>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</si>
  <si>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</si>
  <si>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</si>
  <si>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</si>
  <si>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</si>
  <si>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</si>
  <si>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</si>
  <si>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</si>
  <si>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</si>
  <si>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</si>
  <si>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</si>
  <si>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</si>
  <si>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</si>
  <si>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</si>
  <si>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</si>
  <si>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</si>
  <si>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</si>
  <si>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</si>
  <si>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</si>
  <si>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</si>
  <si>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</si>
  <si>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</si>
  <si>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</si>
  <si>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</si>
  <si>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</si>
  <si>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</si>
  <si>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</si>
  <si>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</si>
  <si>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</si>
  <si>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</si>
  <si>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</si>
  <si>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</si>
  <si>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</si>
  <si>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</si>
  <si>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</si>
  <si>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</si>
  <si>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</si>
  <si>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</si>
  <si>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</si>
  <si>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</si>
  <si>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</si>
  <si>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</si>
  <si>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</si>
  <si>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</si>
  <si>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</si>
  <si>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</si>
  <si>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</si>
  <si>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</si>
  <si>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</si>
  <si>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</si>
  <si>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</si>
  <si>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</si>
  <si>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</si>
  <si>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</si>
  <si>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</si>
  <si>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</si>
  <si>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</si>
  <si>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</si>
  <si>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</si>
  <si>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</si>
  <si>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</si>
  <si>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</si>
  <si>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</si>
  <si>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</si>
  <si>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</si>
  <si>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</si>
  <si>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</si>
  <si>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</si>
  <si>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</si>
  <si>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</si>
  <si>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</si>
  <si>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</si>
  <si>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</si>
  <si>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</si>
  <si>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</si>
  <si>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</si>
  <si>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</si>
  <si>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</si>
  <si>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</si>
  <si>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</si>
  <si>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</si>
  <si>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</si>
  <si>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</si>
  <si>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</si>
  <si>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</si>
  <si>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</si>
  <si>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</si>
  <si>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</si>
  <si>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</si>
  <si>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</si>
  <si>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</si>
  <si>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</si>
  <si>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</si>
  <si>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</si>
  <si>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</si>
  <si>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</si>
  <si>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</si>
  <si>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</si>
  <si>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</si>
  <si>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</si>
  <si>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</si>
  <si>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</si>
  <si>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</si>
  <si>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</si>
  <si>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</si>
  <si>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</si>
  <si>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</si>
  <si>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</si>
  <si>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</si>
  <si>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</si>
  <si>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</si>
  <si>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</si>
  <si>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</si>
  <si>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</si>
  <si>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</si>
  <si>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</si>
  <si>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</si>
  <si>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</si>
  <si>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</si>
  <si>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</si>
  <si>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</si>
  <si>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</si>
  <si>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</si>
  <si>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</si>
  <si>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</si>
  <si>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</si>
  <si>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</si>
  <si>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</si>
  <si>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</si>
  <si>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</si>
  <si>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</si>
  <si>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</si>
  <si>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</si>
  <si>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</si>
  <si>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</si>
  <si>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</si>
  <si>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</si>
  <si>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</si>
  <si>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</si>
  <si>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</si>
  <si>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</si>
  <si>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</si>
  <si>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</si>
  <si>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</si>
  <si>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</si>
  <si>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</si>
  <si>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</si>
  <si>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</si>
  <si>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</si>
  <si>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</si>
  <si>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</si>
  <si>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</si>
  <si>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</si>
  <si>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</si>
  <si>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</si>
  <si>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</si>
  <si>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</si>
  <si>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</si>
  <si>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</si>
  <si>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</si>
  <si>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</si>
  <si>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</si>
  <si>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</si>
  <si>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</si>
  <si>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</si>
  <si>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</si>
  <si>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</si>
  <si>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</si>
  <si>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</si>
  <si>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</si>
  <si>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</si>
  <si>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</si>
  <si>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</si>
  <si>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</si>
  <si>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</si>
  <si>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</si>
  <si>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</si>
  <si>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</si>
  <si>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</si>
  <si>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</si>
  <si>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</si>
  <si>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</si>
  <si>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</si>
  <si>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</si>
  <si>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</si>
  <si>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</si>
  <si>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</si>
  <si>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</si>
  <si>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</si>
  <si>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</si>
  <si>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</si>
  <si>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</si>
  <si>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</si>
  <si>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</si>
  <si>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</si>
  <si>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</si>
  <si>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</si>
  <si>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</si>
  <si>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</si>
  <si>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</si>
  <si>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</si>
  <si>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</si>
  <si>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</si>
  <si>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</si>
  <si>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</si>
  <si>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</si>
  <si>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</si>
  <si>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</si>
  <si>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</si>
  <si>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</si>
  <si>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</si>
  <si>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</si>
  <si>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</si>
  <si>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</si>
  <si>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</si>
  <si>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</si>
  <si>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</si>
  <si>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</si>
  <si>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</si>
  <si>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</si>
  <si>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</si>
  <si>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</si>
  <si>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</si>
  <si>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</si>
  <si>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</si>
  <si>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</si>
  <si>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</si>
  <si>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</si>
  <si>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</si>
  <si>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</si>
  <si>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</si>
  <si>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</si>
  <si>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</si>
  <si>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</si>
  <si>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</si>
  <si>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</si>
  <si>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</si>
  <si>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</si>
  <si>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</si>
  <si>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</si>
  <si>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</si>
  <si>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</si>
  <si>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</si>
  <si>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</si>
  <si>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</si>
  <si>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</si>
  <si>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</si>
  <si>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</si>
  <si>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</si>
  <si>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</si>
  <si>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</si>
  <si>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</si>
  <si>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</si>
  <si>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</si>
  <si>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</si>
  <si>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</si>
  <si>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</si>
  <si>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</si>
  <si>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</si>
  <si>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</si>
  <si>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</si>
  <si>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</si>
  <si>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</si>
  <si>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</si>
  <si>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</si>
  <si>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</si>
  <si>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</si>
  <si>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</si>
  <si>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</si>
  <si>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</si>
  <si>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</si>
  <si>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</si>
  <si>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</si>
  <si>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</si>
  <si>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</si>
  <si>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</si>
  <si>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</si>
  <si>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</si>
  <si>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</si>
  <si>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</si>
  <si>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</si>
  <si>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</si>
  <si>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</si>
  <si>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</si>
  <si>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</si>
  <si>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</si>
  <si>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</si>
  <si>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</si>
  <si>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</si>
  <si>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</si>
  <si>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</si>
  <si>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</si>
  <si>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</si>
  <si>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</si>
  <si>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</si>
  <si>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</si>
  <si>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</si>
  <si>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</si>
  <si>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</si>
  <si>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</si>
  <si>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</si>
  <si>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</si>
  <si>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</si>
  <si>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</si>
  <si>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</si>
  <si>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</si>
  <si>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</si>
  <si>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</si>
  <si>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</si>
  <si>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</si>
  <si>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</si>
  <si>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</si>
  <si>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</si>
  <si>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</si>
  <si>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</si>
  <si>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</si>
  <si>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</si>
  <si>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</si>
  <si>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</si>
  <si>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</si>
  <si>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</si>
  <si>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</si>
  <si>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</si>
  <si>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</si>
  <si>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</si>
  <si>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</si>
  <si>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</si>
  <si>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</si>
  <si>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</si>
  <si>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</si>
  <si>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</si>
  <si>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</si>
  <si>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</si>
  <si>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</si>
  <si>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</si>
  <si>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</si>
  <si>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</si>
  <si>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</si>
  <si>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</si>
  <si>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</si>
  <si>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</si>
  <si>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</si>
  <si>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</si>
  <si>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</si>
  <si>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</si>
  <si>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</si>
  <si>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</si>
  <si>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</si>
  <si>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</si>
  <si>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</si>
  <si>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</si>
  <si>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</si>
  <si>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</si>
  <si>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</si>
  <si>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</si>
  <si>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</si>
  <si>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</si>
  <si>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</si>
  <si>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</si>
  <si>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</si>
  <si>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</si>
  <si>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</si>
  <si>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</si>
  <si>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</si>
  <si>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</si>
  <si>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</si>
  <si>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</si>
  <si>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</si>
  <si>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</si>
  <si>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</si>
  <si>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</si>
  <si>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</si>
  <si>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</si>
  <si>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</si>
  <si>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</si>
  <si>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</si>
  <si>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</si>
  <si>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</si>
  <si>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</si>
  <si>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</si>
  <si>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</si>
  <si>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</si>
  <si>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</si>
  <si>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</si>
  <si>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</si>
  <si>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</si>
  <si>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</si>
  <si>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</si>
  <si>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</si>
  <si>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</si>
  <si>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</si>
  <si>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</si>
  <si>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</si>
  <si>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</si>
  <si>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</si>
  <si>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</si>
  <si>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</si>
  <si>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</si>
  <si>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</si>
  <si>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</si>
  <si>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</si>
  <si>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</si>
  <si>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</si>
  <si>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</si>
  <si>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</si>
  <si>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</si>
  <si>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</si>
  <si>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</si>
  <si>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</si>
  <si>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</si>
  <si>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</si>
  <si>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</si>
  <si>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</si>
  <si>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</si>
  <si>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</si>
  <si>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</si>
  <si>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</si>
  <si>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</si>
  <si>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</si>
  <si>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</si>
  <si>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</si>
  <si>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</si>
  <si>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</si>
  <si>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</si>
  <si>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</si>
  <si>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</si>
  <si>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</si>
  <si>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</si>
  <si>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</si>
  <si>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</si>
  <si>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</si>
  <si>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</si>
  <si>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</si>
  <si>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</si>
  <si>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</si>
  <si>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</si>
  <si>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</si>
  <si>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</si>
  <si>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</si>
  <si>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</si>
  <si>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</si>
  <si>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</si>
  <si>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</si>
  <si>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</si>
  <si>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</si>
  <si>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</si>
  <si>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</si>
  <si>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</si>
  <si>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</si>
  <si>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</si>
  <si>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</si>
  <si>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</si>
  <si>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</si>
  <si>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</si>
  <si>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</si>
  <si>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</si>
  <si>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</si>
  <si>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</si>
  <si>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</si>
  <si>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</si>
  <si>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</si>
  <si>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</si>
  <si>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</si>
  <si>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</si>
  <si>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</si>
  <si>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</si>
  <si>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</si>
  <si>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</si>
  <si>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</si>
  <si>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</si>
  <si>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</si>
  <si>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</si>
  <si>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</si>
  <si>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</si>
  <si>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</si>
  <si>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</si>
  <si>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</si>
  <si>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</si>
  <si>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</si>
  <si>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</si>
  <si>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</si>
  <si>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</si>
  <si>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</si>
  <si>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</si>
  <si>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</si>
  <si>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</si>
  <si>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</si>
  <si>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</si>
  <si>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</si>
  <si>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</si>
  <si>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</si>
  <si>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</si>
  <si>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</si>
  <si>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</si>
  <si>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</si>
  <si>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</si>
  <si>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</si>
  <si>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</si>
  <si>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</si>
  <si>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</si>
  <si>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</si>
  <si>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</si>
  <si>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</si>
  <si>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</si>
  <si>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</si>
  <si>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</si>
  <si>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</si>
  <si>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</si>
  <si>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</si>
  <si>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</si>
  <si>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</si>
  <si>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</si>
  <si>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</si>
  <si>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</si>
  <si>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</si>
  <si>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</si>
  <si>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</si>
  <si>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</si>
  <si>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</si>
  <si>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</si>
  <si>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</si>
  <si>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</si>
  <si>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</si>
  <si>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</si>
  <si>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</si>
  <si>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</si>
  <si>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</si>
  <si>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</si>
  <si>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</si>
  <si>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</si>
  <si>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</si>
  <si>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</si>
  <si>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</si>
  <si>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</si>
  <si>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</si>
  <si>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</si>
  <si>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</si>
  <si>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</si>
  <si>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</si>
  <si>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</si>
  <si>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</si>
  <si>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</si>
  <si>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</si>
  <si>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</si>
  <si>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</si>
  <si>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</si>
  <si>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</si>
  <si>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</si>
  <si>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</si>
  <si>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</si>
  <si>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</si>
  <si>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</si>
  <si>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</si>
  <si>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</si>
  <si>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</si>
  <si>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</si>
  <si>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</si>
  <si>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</si>
  <si>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</si>
  <si>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</si>
  <si>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</si>
  <si>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</si>
  <si>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</si>
  <si>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</si>
  <si>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</si>
  <si>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</si>
  <si>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</si>
  <si>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</si>
  <si>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</si>
  <si>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</si>
  <si>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</si>
  <si>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</si>
  <si>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</si>
  <si>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</si>
  <si>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</si>
  <si>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</si>
  <si>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</si>
  <si>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</si>
  <si>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</si>
  <si>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</si>
  <si>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</si>
  <si>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</si>
  <si>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</si>
  <si>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</si>
  <si>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</si>
  <si>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</si>
  <si>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</si>
  <si>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</si>
  <si>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</si>
  <si>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</si>
  <si>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</si>
  <si>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</si>
  <si>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</si>
  <si>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</si>
  <si>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</si>
  <si>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</si>
  <si>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</si>
  <si>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</si>
  <si>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</si>
  <si>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</si>
  <si>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</si>
  <si>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</si>
  <si>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</si>
  <si>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</si>
  <si>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</si>
  <si>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</si>
  <si>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</si>
  <si>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</si>
  <si>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</si>
  <si>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</si>
  <si>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</si>
  <si>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</si>
  <si>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</si>
  <si>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</si>
  <si>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</si>
  <si>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</si>
  <si>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</si>
  <si>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</si>
  <si>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</si>
  <si>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</si>
  <si>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</si>
  <si>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</si>
  <si>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</si>
  <si>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</si>
  <si>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</si>
  <si>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</si>
  <si>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</si>
  <si>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</si>
  <si>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</si>
  <si>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</si>
  <si>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</si>
  <si>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</si>
  <si>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</si>
  <si>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</si>
  <si>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</si>
  <si>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</si>
  <si>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</si>
  <si>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</si>
  <si>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</si>
  <si>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</si>
  <si>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</si>
  <si>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</si>
  <si>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</si>
  <si>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</si>
  <si>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</si>
  <si>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</si>
  <si>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</si>
  <si>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</si>
  <si>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</si>
  <si>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</si>
  <si>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</si>
  <si>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</si>
  <si>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</si>
  <si>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</si>
  <si>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</si>
  <si>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</si>
  <si>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</si>
  <si>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</si>
  <si>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</si>
  <si>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</si>
  <si>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</si>
  <si>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</si>
  <si>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</si>
  <si>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</si>
  <si>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</si>
  <si>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</si>
  <si>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</si>
  <si>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</si>
  <si>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</si>
  <si>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</si>
  <si>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</si>
  <si>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</si>
  <si>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</si>
  <si>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</si>
  <si>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</si>
  <si>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</si>
  <si>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</si>
  <si>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</si>
  <si>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</si>
  <si>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</si>
  <si>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</si>
  <si>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</si>
  <si>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</si>
  <si>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</si>
  <si>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</si>
  <si>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</si>
  <si>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</si>
  <si>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</si>
  <si>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</si>
  <si>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</si>
  <si>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</si>
  <si>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</si>
  <si>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</si>
  <si>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</si>
  <si>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</si>
  <si>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</si>
  <si>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</si>
  <si>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</si>
  <si>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</si>
  <si>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</si>
  <si>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</si>
  <si>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</si>
  <si>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</si>
  <si>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</si>
  <si>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</si>
  <si>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</si>
  <si>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</si>
  <si>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</si>
  <si>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</si>
  <si>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</si>
  <si>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</si>
  <si>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</si>
  <si>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</si>
  <si>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</si>
  <si>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</si>
  <si>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</si>
  <si>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</si>
  <si>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</si>
  <si>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</si>
  <si>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</si>
  <si>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</si>
  <si>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</si>
  <si>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</si>
  <si>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</si>
  <si>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</si>
  <si>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</si>
  <si>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</si>
  <si>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</si>
  <si>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</si>
  <si>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</si>
  <si>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</si>
  <si>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</si>
  <si>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</si>
  <si>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</si>
  <si>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</si>
  <si>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</si>
  <si>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</si>
  <si>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</si>
  <si>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</si>
  <si>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</si>
  <si>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</si>
  <si>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</si>
  <si>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</si>
  <si>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</si>
  <si>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</si>
  <si>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</si>
  <si>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</si>
  <si>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</si>
  <si>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</si>
  <si>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</si>
  <si>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</si>
  <si>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</si>
  <si>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</si>
  <si>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</si>
  <si>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</si>
  <si>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</si>
  <si>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</si>
  <si>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</si>
  <si>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</si>
  <si>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</si>
  <si>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</si>
  <si>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</si>
  <si>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</si>
  <si>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</si>
  <si>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</si>
  <si>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</si>
  <si>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</si>
  <si>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</si>
  <si>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</si>
  <si>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</si>
  <si>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</si>
  <si>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</si>
  <si>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</si>
  <si>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</si>
  <si>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</si>
  <si>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</si>
  <si>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</si>
  <si>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</si>
  <si>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</si>
  <si>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</si>
  <si>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</si>
  <si>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</si>
  <si>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</si>
  <si>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</si>
  <si>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</si>
  <si>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</si>
  <si>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</si>
  <si>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</si>
  <si>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</si>
  <si>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</si>
  <si>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</si>
  <si>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</si>
  <si>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</si>
  <si>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</si>
  <si>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</si>
  <si>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</si>
  <si>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</si>
  <si>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</si>
  <si>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</si>
  <si>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</si>
  <si>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</si>
  <si>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</si>
  <si>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</si>
  <si>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</si>
  <si>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</si>
  <si>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</si>
  <si>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</si>
  <si>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</si>
  <si>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</si>
  <si>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</si>
  <si>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</si>
  <si>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</si>
  <si>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</si>
  <si>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</si>
  <si>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</si>
  <si>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</si>
  <si>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</si>
  <si>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</si>
  <si>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</si>
  <si>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</si>
  <si>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</si>
  <si>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</si>
  <si>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</si>
  <si>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</si>
  <si>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</si>
  <si>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</si>
  <si>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</si>
  <si>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</si>
  <si>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</si>
  <si>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</si>
  <si>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</si>
  <si>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</si>
  <si>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</si>
  <si>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</si>
  <si>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</si>
  <si>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</si>
  <si>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</si>
  <si>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</si>
  <si>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</si>
  <si>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</si>
  <si>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</si>
  <si>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</si>
  <si>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</si>
  <si>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</si>
  <si>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</si>
  <si>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</si>
  <si>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</si>
  <si>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</si>
  <si>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</si>
  <si>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</si>
  <si>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</si>
  <si>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</si>
  <si>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</si>
  <si>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</si>
  <si>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</si>
  <si>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</si>
  <si>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</si>
  <si>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</si>
  <si>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</si>
  <si>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</si>
  <si>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</si>
  <si>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</si>
  <si>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</si>
  <si>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</si>
  <si>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</si>
  <si>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</si>
  <si>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</si>
  <si>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</si>
  <si>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</si>
  <si>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</si>
  <si>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</si>
  <si>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</si>
  <si>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</si>
  <si>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</si>
  <si>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</si>
  <si>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</si>
  <si>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</si>
  <si>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</si>
  <si>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</si>
  <si>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</si>
  <si>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</si>
  <si>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</si>
  <si>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</si>
  <si>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</si>
  <si>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</si>
  <si>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</si>
  <si>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</si>
  <si>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</si>
  <si>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</si>
  <si>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</si>
  <si>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</si>
  <si>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</si>
  <si>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</si>
  <si>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</si>
  <si>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</si>
  <si>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</si>
  <si>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</si>
  <si>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</si>
  <si>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</si>
  <si>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</si>
  <si>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</si>
  <si>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</si>
  <si>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</si>
  <si>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</si>
  <si>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</si>
  <si>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</si>
  <si>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</si>
  <si>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</si>
  <si>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</si>
  <si>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</si>
  <si>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</si>
  <si>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</si>
  <si>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</si>
  <si>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</si>
  <si>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</si>
  <si>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</si>
  <si>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</si>
  <si>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</si>
  <si>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</si>
  <si>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</si>
  <si>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</si>
  <si>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</si>
  <si>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</si>
  <si>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</si>
  <si>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</si>
  <si>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</si>
  <si>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</si>
  <si>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</si>
  <si>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</si>
  <si>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</si>
  <si>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</si>
  <si>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</si>
  <si>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</si>
  <si>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</si>
  <si>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</si>
  <si>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</si>
  <si>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</si>
  <si>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</si>
  <si>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</si>
  <si>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</si>
  <si>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</si>
  <si>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</si>
  <si>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</si>
  <si>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</si>
  <si>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</si>
  <si>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</si>
  <si>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</si>
  <si>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</si>
  <si>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</si>
  <si>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</si>
  <si>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</si>
  <si>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</si>
  <si>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</si>
  <si>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</si>
  <si>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</si>
  <si>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</si>
  <si>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</si>
  <si>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</si>
  <si>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</si>
  <si>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</si>
  <si>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</si>
  <si>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</si>
  <si>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</si>
  <si>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</si>
  <si>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</si>
  <si>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</si>
  <si>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</si>
  <si>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</si>
  <si>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</si>
  <si>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</si>
  <si>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</si>
  <si>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</si>
  <si>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</si>
  <si>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</si>
  <si>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</si>
  <si>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</si>
  <si>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</si>
  <si>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</si>
  <si>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</si>
  <si>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</si>
  <si>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</si>
  <si>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</si>
  <si>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</si>
  <si>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</si>
  <si>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</si>
  <si>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</si>
  <si>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</si>
  <si>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</si>
  <si>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</si>
  <si>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</si>
  <si>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</si>
  <si>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</si>
  <si>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</si>
  <si>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</si>
  <si>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</si>
  <si>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</si>
  <si>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</si>
  <si>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</si>
  <si>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</si>
  <si>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</si>
  <si>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</si>
  <si>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</si>
  <si>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</si>
  <si>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</si>
  <si>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</si>
  <si>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</si>
  <si>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</si>
  <si>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</si>
  <si>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</si>
  <si>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</si>
  <si>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</si>
  <si>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</si>
  <si>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</si>
  <si>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</si>
  <si>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</si>
  <si>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</si>
  <si>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</si>
  <si>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</si>
  <si>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</si>
  <si>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</si>
  <si>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</si>
  <si>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</si>
  <si>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</si>
  <si>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</si>
  <si>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</si>
  <si>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</si>
  <si>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</si>
  <si>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</si>
  <si>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</si>
  <si>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</si>
  <si>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</si>
  <si>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</si>
  <si>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</si>
  <si>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</si>
  <si>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</si>
  <si>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</si>
  <si>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</si>
  <si>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</si>
  <si>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</si>
  <si>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</si>
  <si>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</si>
  <si>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</si>
  <si>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</si>
  <si>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</si>
  <si>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</si>
  <si>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</si>
  <si>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</si>
  <si>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</si>
  <si>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</si>
  <si>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</si>
  <si>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</si>
  <si>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</si>
  <si>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</si>
  <si>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</si>
  <si>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</si>
  <si>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</si>
  <si>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</si>
  <si>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</si>
  <si>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</si>
  <si>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</si>
  <si>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</si>
  <si>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</si>
  <si>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</si>
  <si>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</si>
  <si>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</si>
  <si>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</si>
  <si>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</si>
  <si>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</si>
  <si>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</si>
  <si>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</si>
  <si>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</si>
  <si>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</si>
  <si>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</si>
  <si>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</si>
  <si>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</si>
  <si>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</si>
  <si>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</si>
  <si>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</si>
  <si>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</si>
  <si>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</si>
  <si>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</si>
  <si>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</si>
  <si>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</si>
  <si>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</si>
  <si>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</si>
  <si>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</si>
  <si>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</si>
  <si>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</si>
  <si>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</si>
  <si>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</si>
  <si>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</si>
  <si>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</si>
  <si>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</si>
  <si>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</si>
  <si>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</si>
  <si>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</si>
  <si>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</si>
  <si>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</si>
  <si>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</si>
  <si>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</si>
  <si>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</si>
  <si>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</si>
  <si>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</si>
  <si>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</si>
  <si>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</si>
  <si>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</si>
  <si>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</si>
  <si>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</si>
  <si>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</si>
  <si>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</si>
  <si>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</si>
  <si>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</si>
  <si>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</si>
  <si>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</si>
  <si>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</si>
  <si>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</si>
  <si>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</si>
  <si>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</si>
  <si>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</si>
  <si>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</si>
  <si>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</si>
  <si>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</si>
  <si>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</si>
  <si>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</si>
  <si>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</si>
  <si>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</si>
  <si>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</si>
  <si>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</si>
  <si>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</si>
  <si>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</si>
  <si>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</si>
  <si>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</si>
  <si>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</si>
  <si>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</si>
  <si>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</si>
  <si>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</si>
  <si>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</si>
  <si>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</si>
  <si>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</si>
  <si>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</si>
  <si>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</si>
  <si>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</si>
  <si>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</si>
  <si>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</si>
  <si>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</si>
  <si>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</si>
  <si>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</si>
  <si>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</si>
  <si>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</si>
  <si>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</si>
  <si>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</si>
  <si>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</si>
  <si>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</si>
  <si>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</si>
  <si>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</si>
  <si>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</si>
  <si>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</si>
  <si>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</si>
  <si>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</si>
  <si>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</si>
  <si>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</si>
  <si>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</si>
  <si>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</si>
  <si>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</si>
  <si>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</si>
  <si>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</si>
  <si>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</si>
  <si>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</si>
  <si>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</si>
  <si>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</si>
  <si>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</si>
  <si>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</si>
  <si>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</si>
  <si>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</si>
  <si>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</si>
  <si>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</si>
  <si>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</si>
  <si>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</si>
  <si>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</si>
  <si>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</si>
  <si>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</si>
  <si>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</si>
  <si>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</si>
  <si>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</si>
  <si>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</si>
  <si>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</si>
  <si>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</si>
  <si>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</si>
  <si>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</si>
  <si>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</si>
  <si>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</si>
  <si>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</si>
  <si>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</si>
  <si>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</si>
  <si>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</si>
  <si>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</si>
  <si>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</si>
  <si>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</si>
  <si>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</si>
  <si>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</si>
  <si>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</si>
  <si>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</si>
  <si>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</si>
  <si>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</si>
  <si>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</si>
  <si>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</si>
  <si>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</si>
  <si>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</si>
  <si>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</si>
  <si>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</si>
  <si>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</si>
  <si>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</si>
  <si>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</si>
  <si>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</si>
  <si>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</si>
  <si>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</si>
  <si>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</si>
  <si>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</si>
  <si>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</si>
  <si>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</si>
  <si>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</si>
  <si>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</si>
  <si>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</si>
  <si>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</si>
  <si>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</si>
  <si>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</si>
  <si>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</si>
  <si>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</si>
  <si>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</si>
  <si>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</si>
  <si>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</si>
  <si>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</si>
  <si>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</si>
  <si>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</si>
  <si>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</si>
  <si>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</si>
  <si>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</si>
  <si>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</si>
  <si>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</si>
  <si>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</si>
  <si>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</si>
  <si>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</si>
  <si>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</si>
  <si>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</si>
  <si>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</si>
  <si>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</si>
  <si>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</si>
  <si>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</si>
  <si>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</si>
  <si>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</si>
  <si>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</si>
  <si>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</si>
  <si>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</si>
  <si>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</si>
  <si>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</si>
  <si>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</si>
  <si>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</si>
  <si>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</si>
  <si>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</si>
  <si>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</si>
  <si>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</si>
  <si>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</si>
  <si>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</si>
  <si>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</si>
  <si>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</si>
  <si>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</si>
  <si>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</si>
  <si>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</si>
  <si>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</si>
  <si>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</si>
  <si>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</si>
  <si>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</si>
  <si>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</si>
  <si>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</si>
  <si>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</si>
  <si>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</si>
  <si>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</si>
  <si>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</si>
  <si>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</si>
  <si>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</si>
  <si>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</si>
  <si>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</si>
  <si>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</si>
  <si>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</si>
  <si>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</si>
  <si>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</si>
  <si>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</si>
  <si>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</si>
  <si>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</si>
  <si>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</si>
  <si>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</si>
  <si>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</si>
  <si>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</si>
  <si>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</si>
  <si>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</si>
  <si>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</si>
  <si>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</si>
  <si>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</si>
  <si>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</si>
  <si>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</si>
  <si>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</si>
  <si>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</si>
  <si>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</si>
  <si>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</si>
  <si>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</si>
  <si>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</si>
  <si>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</si>
  <si>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</si>
  <si>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</si>
  <si>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</si>
  <si>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</si>
  <si>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</si>
  <si>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</si>
  <si>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</si>
  <si>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</si>
  <si>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</si>
  <si>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</si>
  <si>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</si>
  <si>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</si>
  <si>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</si>
  <si>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</si>
  <si>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</si>
  <si>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</si>
  <si>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</si>
  <si>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</si>
  <si>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</si>
  <si>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</si>
  <si>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</si>
  <si>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</si>
  <si>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</si>
  <si>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</si>
  <si>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</si>
  <si>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</si>
  <si>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</si>
  <si>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</si>
  <si>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</si>
  <si>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</si>
  <si>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</si>
  <si>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</si>
  <si>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</si>
  <si>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</si>
  <si>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</si>
  <si>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</si>
  <si>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</si>
  <si>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</si>
  <si>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</si>
  <si>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</si>
  <si>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</si>
  <si>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</si>
  <si>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</si>
  <si>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</si>
  <si>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</si>
  <si>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</si>
  <si>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</si>
  <si>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</si>
  <si>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</si>
  <si>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</si>
  <si>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</si>
  <si>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</si>
  <si>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</si>
  <si>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</si>
  <si>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</si>
  <si>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</si>
  <si>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</si>
  <si>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</si>
  <si>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</si>
  <si>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</si>
  <si>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</si>
  <si>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</si>
  <si>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</si>
  <si>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</si>
  <si>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</si>
  <si>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</si>
  <si>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</si>
  <si>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</si>
  <si>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</si>
  <si>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</si>
  <si>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</si>
  <si>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</si>
  <si>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</si>
  <si>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</si>
  <si>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</si>
  <si>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</si>
  <si>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</si>
  <si>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</si>
  <si>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</si>
  <si>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</si>
  <si>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</si>
  <si>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</si>
  <si>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</si>
  <si>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</si>
  <si>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</si>
  <si>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</si>
  <si>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</si>
  <si>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</si>
  <si>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</si>
  <si>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</si>
  <si>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</si>
  <si>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</si>
  <si>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</si>
  <si>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</si>
  <si>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</si>
  <si>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</si>
  <si>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</si>
  <si>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</si>
  <si>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</si>
  <si>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</si>
  <si>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</si>
  <si>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</si>
  <si>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</si>
  <si>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</si>
  <si>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</si>
  <si>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</si>
  <si>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</si>
  <si>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</si>
  <si>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</si>
  <si>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</si>
  <si>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</si>
  <si>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</si>
  <si>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</si>
  <si>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</si>
  <si>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</si>
  <si>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</si>
  <si>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</si>
  <si>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</si>
  <si>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</si>
  <si>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</si>
  <si>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</si>
  <si>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</si>
  <si>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</si>
  <si>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</si>
  <si>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</si>
  <si>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</si>
  <si>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</si>
  <si>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</si>
  <si>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</si>
  <si>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</si>
  <si>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</si>
  <si>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</si>
  <si>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</si>
  <si>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</si>
  <si>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</si>
  <si>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</si>
  <si>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</si>
  <si>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</si>
  <si>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</si>
  <si>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</si>
  <si>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</si>
  <si>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</si>
  <si>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</si>
  <si>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</si>
  <si>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</si>
  <si>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</si>
  <si>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</si>
  <si>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</si>
  <si>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</si>
  <si>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</si>
  <si>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</si>
  <si>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</si>
  <si>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</si>
  <si>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</si>
  <si>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</si>
  <si>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</si>
  <si>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</si>
  <si>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</si>
  <si>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</si>
  <si>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</si>
  <si>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</si>
  <si>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</si>
  <si>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</si>
  <si>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</si>
  <si>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</si>
  <si>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</si>
  <si>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</si>
  <si>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</si>
  <si>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</si>
  <si>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</si>
  <si>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</si>
  <si>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</si>
  <si>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</si>
  <si>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</si>
  <si>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</si>
  <si>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</si>
  <si>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</si>
  <si>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</si>
  <si>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</si>
  <si>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</si>
  <si>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</si>
  <si>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</si>
  <si>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</si>
  <si>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</si>
  <si>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</si>
  <si>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</si>
  <si>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</si>
  <si>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</si>
  <si>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</si>
  <si>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</si>
  <si>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</si>
  <si>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</si>
  <si>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</si>
  <si>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</si>
  <si>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</si>
  <si>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</si>
  <si>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</si>
  <si>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</si>
  <si>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</si>
  <si>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</si>
  <si>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</si>
  <si>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</si>
  <si>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</si>
  <si>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</si>
  <si>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</si>
  <si>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</si>
  <si>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</si>
  <si>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</si>
  <si>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</si>
  <si>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</si>
  <si>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</si>
  <si>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</si>
  <si>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</si>
  <si>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</si>
  <si>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</si>
  <si>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</si>
  <si>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</si>
  <si>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</si>
  <si>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</si>
  <si>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</si>
  <si>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</si>
  <si>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</si>
  <si>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</si>
  <si>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</si>
  <si>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</si>
  <si>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</si>
  <si>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</si>
  <si>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</si>
  <si>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</si>
  <si>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</si>
  <si>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</si>
  <si>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</si>
  <si>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</si>
  <si>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</si>
  <si>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</si>
  <si>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</si>
  <si>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</si>
  <si>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</si>
  <si>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</si>
  <si>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</si>
  <si>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</si>
  <si>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</si>
  <si>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</si>
  <si>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</si>
  <si>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</si>
  <si>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</si>
  <si>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</si>
  <si>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</si>
  <si>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</si>
  <si>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</si>
  <si>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</si>
  <si>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</si>
  <si>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</si>
  <si>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</si>
  <si>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</si>
  <si>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</si>
  <si>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</si>
  <si>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</si>
  <si>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</si>
  <si>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</si>
  <si>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</si>
  <si>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</si>
  <si>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</si>
  <si>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</si>
  <si>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</si>
  <si>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</si>
  <si>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</si>
  <si>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</si>
  <si>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</si>
  <si>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</si>
  <si>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</si>
  <si>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</si>
  <si>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</si>
  <si>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</si>
  <si>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</si>
  <si>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</si>
  <si>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</si>
  <si>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</si>
  <si>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</si>
  <si>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</si>
  <si>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</si>
  <si>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</si>
  <si>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</si>
  <si>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</si>
  <si>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</si>
  <si>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</si>
  <si>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</si>
  <si>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</si>
  <si>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</si>
  <si>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</si>
  <si>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</si>
  <si>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</si>
  <si>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</si>
  <si>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</si>
  <si>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</si>
  <si>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</si>
  <si>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</si>
  <si>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</si>
  <si>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</si>
  <si>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</si>
  <si>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</si>
  <si>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</si>
  <si>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</si>
  <si>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</si>
  <si>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</si>
  <si>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</si>
  <si>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</si>
  <si>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</si>
  <si>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</si>
  <si>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</si>
  <si>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</si>
  <si>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</si>
  <si>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</si>
  <si>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</si>
  <si>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</si>
  <si>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</si>
  <si>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</si>
  <si>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</si>
  <si>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</si>
  <si>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</si>
  <si>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</si>
  <si>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</si>
  <si>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</si>
  <si>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</si>
  <si>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</si>
  <si>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</si>
  <si>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</si>
  <si>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</si>
  <si>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</si>
  <si>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</si>
  <si>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</si>
  <si>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</si>
  <si>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</si>
  <si>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</si>
  <si>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</si>
  <si>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</si>
  <si>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</si>
  <si>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</si>
  <si>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</si>
  <si>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</si>
  <si>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</si>
  <si>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</si>
  <si>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</si>
  <si>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</si>
  <si>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</si>
  <si>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</si>
  <si>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</si>
  <si>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</si>
  <si>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</si>
  <si>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</si>
  <si>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</si>
  <si>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</si>
  <si>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</si>
  <si>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</si>
  <si>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</si>
  <si>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</si>
  <si>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</si>
  <si>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</si>
  <si>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</si>
  <si>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</si>
  <si>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</si>
  <si>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</si>
  <si>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</si>
  <si>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</si>
  <si>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</si>
  <si>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</si>
  <si>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</si>
  <si>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</si>
  <si>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</si>
  <si>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</si>
  <si>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</si>
  <si>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</si>
  <si>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</si>
  <si>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</si>
  <si>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</si>
  <si>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</si>
  <si>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</si>
  <si>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</si>
  <si>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</si>
  <si>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</si>
  <si>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</si>
  <si>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</si>
  <si>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</si>
  <si>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</si>
  <si>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</si>
  <si>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</si>
  <si>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</si>
  <si>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</si>
  <si>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</si>
  <si>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</si>
  <si>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</si>
  <si>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</si>
  <si>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</si>
  <si>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</si>
  <si>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</si>
  <si>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</si>
  <si>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</si>
  <si>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</si>
  <si>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</si>
  <si>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</si>
  <si>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</si>
  <si>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</si>
  <si>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</si>
  <si>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</si>
  <si>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</si>
  <si>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</si>
  <si>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</si>
  <si>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</si>
  <si>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</si>
  <si>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</si>
  <si>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</si>
  <si>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</si>
  <si>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</si>
  <si>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</si>
  <si>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</si>
  <si>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</si>
  <si>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</si>
  <si>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</si>
  <si>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</si>
  <si>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</si>
  <si>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</si>
  <si>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</si>
  <si>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</si>
  <si>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</si>
  <si>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</si>
  <si>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</si>
  <si>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</si>
  <si>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</si>
  <si>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</si>
  <si>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</si>
  <si>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</si>
  <si>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</si>
  <si>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</si>
  <si>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</si>
  <si>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</si>
  <si>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</si>
  <si>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</si>
  <si>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</si>
  <si>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</si>
  <si>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</si>
  <si>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</si>
  <si>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</si>
  <si>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</si>
  <si>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</si>
  <si>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</si>
  <si>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</si>
  <si>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</si>
  <si>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</si>
  <si>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</si>
  <si>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</si>
  <si>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</si>
  <si>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</si>
  <si>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</si>
  <si>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</si>
  <si>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</si>
  <si>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</si>
  <si>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</si>
  <si>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</si>
  <si>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</si>
  <si>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</si>
  <si>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</si>
  <si>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</si>
  <si>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</si>
  <si>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</si>
  <si>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</si>
  <si>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</si>
  <si>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</si>
  <si>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</si>
  <si>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</si>
  <si>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</si>
  <si>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</si>
  <si>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</si>
  <si>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</si>
  <si>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</si>
  <si>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</si>
  <si>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</si>
  <si>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</si>
  <si>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</si>
  <si>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</si>
  <si>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</si>
  <si>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</si>
  <si>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</si>
  <si>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</si>
  <si>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</si>
  <si>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</si>
  <si>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</si>
  <si>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</si>
  <si>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</si>
  <si>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</si>
  <si>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</si>
  <si>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</si>
  <si>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</si>
  <si>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</si>
  <si>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</si>
  <si>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</si>
  <si>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</si>
  <si>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</si>
  <si>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</si>
  <si>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</si>
  <si>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</si>
  <si>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</si>
  <si>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</si>
  <si>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</si>
  <si>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</si>
  <si>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</si>
  <si>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</si>
  <si>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</si>
  <si>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</si>
  <si>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</si>
  <si>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</si>
  <si>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</si>
  <si>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</si>
  <si>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</si>
  <si>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</si>
  <si>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</si>
  <si>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</si>
  <si>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</si>
  <si>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</si>
  <si>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</si>
  <si>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</si>
  <si>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</si>
  <si>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</si>
  <si>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</si>
  <si>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</si>
  <si>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</si>
  <si>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</si>
  <si>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</si>
  <si>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</si>
  <si>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</si>
  <si>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</si>
  <si>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</si>
  <si>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</si>
  <si>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</si>
  <si>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</si>
  <si>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</si>
  <si>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</si>
  <si>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</si>
  <si>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</si>
  <si>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</si>
  <si>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</si>
  <si>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</si>
  <si>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</si>
  <si>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</si>
  <si>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</si>
  <si>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</si>
  <si>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</si>
  <si>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</si>
  <si>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</si>
  <si>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</si>
  <si>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</si>
  <si>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</si>
  <si>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</si>
  <si>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</si>
  <si>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</si>
  <si>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</si>
  <si>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</si>
  <si>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</si>
  <si>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</si>
  <si>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</si>
  <si>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</si>
  <si>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</si>
  <si>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</si>
  <si>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</si>
  <si>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</si>
  <si>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</si>
  <si>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</si>
  <si>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</si>
  <si>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</si>
  <si>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</si>
  <si>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</si>
  <si>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</si>
  <si>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</si>
  <si>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</si>
  <si>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</si>
  <si>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</si>
  <si>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</si>
  <si>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</si>
  <si>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</si>
  <si>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</si>
  <si>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</si>
  <si>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</si>
  <si>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</si>
  <si>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</si>
  <si>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</si>
  <si>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</si>
  <si>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</si>
  <si>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</si>
  <si>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</si>
  <si>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</si>
  <si>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</si>
  <si>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</si>
  <si>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</si>
  <si>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</si>
  <si>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</si>
  <si>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</si>
  <si>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</si>
  <si>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</si>
  <si>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</si>
  <si>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</si>
  <si>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</si>
  <si>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</si>
  <si>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</si>
  <si>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</si>
  <si>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</si>
  <si>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</si>
  <si>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</si>
  <si>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</si>
  <si>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</si>
  <si>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</si>
  <si>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</si>
  <si>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</si>
  <si>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</si>
  <si>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</si>
  <si>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</si>
  <si>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</si>
  <si>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</si>
  <si>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</si>
  <si>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</si>
  <si>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</si>
  <si>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</si>
  <si>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</si>
  <si>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</si>
  <si>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</si>
  <si>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</si>
  <si>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</si>
  <si>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</si>
  <si>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</si>
  <si>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</si>
  <si>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</si>
  <si>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</si>
  <si>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</si>
  <si>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</si>
  <si>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</si>
  <si>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</si>
  <si>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</si>
  <si>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</si>
  <si>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</si>
  <si>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</si>
  <si>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</si>
  <si>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</si>
  <si>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</si>
  <si>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</si>
  <si>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</si>
  <si>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</si>
  <si>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</si>
  <si>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</si>
  <si>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</si>
  <si>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</si>
  <si>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</si>
  <si>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</si>
  <si>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</si>
  <si>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</si>
  <si>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</si>
  <si>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</si>
  <si>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</si>
  <si>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</si>
  <si>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</si>
  <si>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</si>
  <si>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</si>
  <si>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</si>
  <si>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</si>
  <si>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</si>
  <si>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</si>
  <si>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</si>
  <si>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</si>
  <si>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</si>
  <si>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</si>
  <si>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</si>
  <si>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</si>
  <si>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</si>
  <si>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</si>
  <si>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</si>
  <si>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</si>
  <si>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</si>
  <si>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</si>
  <si>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</si>
  <si>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</si>
  <si>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</si>
  <si>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</si>
  <si>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</si>
  <si>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</si>
  <si>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</si>
  <si>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</si>
  <si>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</si>
  <si>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</si>
  <si>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</si>
  <si>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</si>
  <si>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</si>
  <si>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</si>
  <si>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</si>
  <si>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</si>
  <si>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</si>
  <si>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</si>
  <si>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</si>
  <si>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</si>
  <si>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</si>
  <si>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</si>
  <si>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</si>
  <si>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</si>
  <si>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</si>
  <si>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</si>
  <si>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</si>
  <si>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</si>
  <si>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</si>
  <si>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</si>
  <si>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</si>
  <si>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</si>
  <si>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</si>
  <si>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</si>
  <si>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</si>
  <si>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</si>
  <si>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</si>
  <si>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</si>
  <si>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</si>
  <si>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</si>
  <si>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</si>
  <si>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</si>
  <si>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</si>
  <si>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</si>
  <si>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</si>
  <si>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</si>
  <si>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</si>
  <si>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</si>
  <si>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</si>
  <si>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</si>
  <si>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</si>
  <si>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</si>
  <si>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</si>
  <si>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</si>
  <si>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</si>
  <si>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</si>
  <si>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</si>
  <si>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</si>
  <si>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</si>
  <si>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</si>
  <si>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</si>
  <si>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</si>
  <si>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</si>
  <si>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</si>
  <si>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</si>
  <si>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</si>
  <si>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</si>
  <si>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</si>
  <si>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</si>
  <si>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</si>
  <si>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</si>
  <si>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</si>
  <si>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</si>
  <si>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</si>
  <si>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</si>
  <si>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</si>
  <si>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</si>
  <si>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</si>
  <si>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</si>
  <si>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</si>
  <si>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</si>
  <si>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</si>
  <si>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</si>
  <si>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</si>
  <si>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</si>
  <si>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</si>
  <si>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</si>
  <si>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</si>
  <si>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</si>
  <si>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</si>
  <si>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</si>
  <si>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</si>
  <si>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</si>
  <si>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</si>
  <si>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</si>
  <si>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</si>
  <si>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</si>
  <si>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</si>
  <si>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</si>
  <si>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</si>
  <si>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</si>
  <si>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</si>
  <si>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</si>
  <si>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</si>
  <si>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</si>
  <si>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</si>
  <si>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</si>
  <si>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</si>
  <si>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</si>
  <si>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</si>
  <si>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</si>
  <si>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</si>
  <si>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</si>
  <si>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</si>
  <si>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</si>
  <si>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</si>
  <si>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</si>
  <si>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</si>
  <si>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</si>
  <si>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</si>
  <si>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</si>
  <si>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</si>
  <si>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</si>
  <si>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</si>
  <si>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</si>
  <si>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</si>
  <si>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</si>
  <si>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</si>
  <si>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</si>
  <si>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</si>
  <si>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</si>
  <si>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</si>
  <si>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</si>
  <si>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</si>
  <si>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</si>
  <si>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</si>
  <si>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</si>
  <si>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</si>
  <si>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</si>
  <si>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</si>
  <si>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</si>
  <si>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</si>
  <si>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</si>
  <si>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</si>
  <si>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</si>
  <si>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</si>
  <si>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</si>
  <si>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</si>
  <si>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</si>
  <si>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</si>
  <si>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</si>
  <si>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</si>
  <si>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</si>
  <si>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</si>
  <si>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</si>
  <si>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</si>
  <si>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</si>
  <si>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</si>
  <si>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</si>
  <si>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</si>
  <si>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</si>
  <si>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</si>
  <si>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</si>
  <si>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</si>
  <si>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</si>
  <si>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</si>
  <si>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</si>
  <si>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</si>
  <si>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</si>
  <si>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</si>
  <si>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</si>
  <si>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</si>
  <si>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</si>
  <si>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</si>
  <si>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</si>
  <si>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</si>
  <si>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</si>
  <si>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</si>
  <si>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</si>
  <si>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</si>
  <si>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</si>
  <si>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</si>
  <si>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</si>
  <si>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</si>
  <si>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</si>
  <si>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</si>
  <si>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</si>
  <si>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</si>
  <si>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</si>
  <si>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</si>
  <si>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</si>
  <si>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</si>
  <si>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</si>
  <si>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</si>
  <si>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</si>
  <si>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</si>
  <si>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</si>
  <si>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</si>
  <si>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</si>
  <si>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</si>
  <si>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</si>
  <si>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</si>
  <si>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</si>
  <si>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</si>
  <si>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</si>
  <si>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</si>
  <si>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</si>
  <si>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</si>
  <si>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</si>
  <si>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</si>
  <si>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</si>
  <si>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</si>
  <si>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</si>
  <si>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</si>
  <si>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</si>
  <si>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</si>
  <si>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</si>
  <si>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</si>
  <si>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</si>
  <si>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</si>
  <si>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</si>
  <si>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</si>
  <si>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</si>
  <si>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</si>
  <si>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</si>
  <si>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</si>
  <si>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</si>
  <si>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</si>
  <si>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</si>
  <si>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</si>
  <si>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</si>
  <si>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</si>
  <si>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</si>
  <si>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</si>
  <si>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</si>
  <si>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</si>
  <si>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</si>
  <si>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</si>
  <si>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</si>
  <si>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</si>
  <si>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</si>
  <si>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</si>
  <si>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</si>
  <si>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</si>
  <si>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</si>
  <si>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</si>
  <si>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</si>
  <si>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</si>
  <si>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</si>
  <si>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</si>
  <si>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</si>
  <si>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</si>
  <si>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</si>
  <si>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</si>
  <si>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</si>
  <si>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</si>
  <si>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</si>
  <si>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</si>
  <si>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</si>
  <si>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</si>
  <si>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</si>
  <si>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</si>
  <si>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</si>
  <si>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</si>
  <si>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</si>
  <si>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</si>
  <si>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</si>
  <si>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</si>
  <si>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</si>
  <si>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</si>
  <si>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</si>
  <si>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</si>
  <si>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</si>
  <si>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</si>
  <si>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</si>
  <si>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</si>
  <si>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</si>
  <si>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</si>
  <si>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</si>
  <si>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</si>
  <si>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</si>
  <si>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</si>
  <si>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</si>
  <si>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</si>
  <si>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</si>
  <si>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</si>
  <si>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</si>
  <si>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</si>
  <si>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</si>
  <si>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</si>
  <si>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</si>
  <si>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</si>
  <si>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</si>
  <si>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</si>
  <si>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</si>
  <si>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</si>
  <si>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</si>
  <si>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</si>
  <si>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</si>
  <si>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</si>
  <si>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</si>
  <si>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</si>
  <si>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</si>
  <si>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</si>
  <si>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</si>
  <si>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</si>
  <si>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</si>
  <si>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</si>
  <si>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</si>
  <si>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</si>
  <si>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</si>
  <si>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</si>
  <si>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</si>
  <si>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</si>
  <si>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</si>
  <si>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</si>
  <si>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</si>
  <si>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</si>
  <si>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</si>
  <si>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</si>
  <si>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</si>
  <si>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</si>
  <si>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</si>
  <si>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</si>
  <si>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</si>
  <si>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</si>
  <si>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</si>
  <si>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</si>
  <si>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</si>
  <si>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</si>
  <si>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</si>
  <si>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</si>
  <si>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</si>
  <si>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</si>
  <si>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</si>
  <si>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</si>
  <si>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</si>
  <si>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</si>
  <si>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</si>
  <si>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</si>
  <si>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</si>
  <si>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</si>
  <si>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</si>
  <si>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</si>
  <si>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</si>
  <si>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</si>
  <si>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</si>
  <si>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</si>
  <si>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</si>
  <si>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</si>
  <si>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</si>
  <si>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</si>
  <si>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</si>
  <si>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</si>
  <si>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</si>
  <si>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</si>
  <si>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</si>
  <si>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</si>
  <si>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</si>
  <si>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</si>
  <si>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</si>
  <si>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</si>
  <si>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</si>
  <si>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</si>
  <si>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</si>
  <si>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</si>
  <si>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</si>
  <si>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</si>
  <si>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</si>
  <si>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</si>
  <si>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</si>
  <si>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</si>
  <si>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</si>
  <si>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</si>
  <si>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</si>
  <si>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</si>
  <si>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</si>
  <si>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</si>
  <si>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</si>
  <si>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</si>
  <si>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</si>
  <si>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</si>
  <si>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</si>
  <si>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</si>
  <si>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</si>
  <si>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</si>
  <si>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</si>
  <si>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</si>
  <si>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</si>
  <si>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</si>
  <si>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</si>
  <si>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</si>
  <si>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</si>
  <si>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</si>
  <si>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</si>
  <si>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</si>
  <si>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</si>
  <si>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</si>
  <si>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</si>
  <si>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</si>
  <si>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</si>
  <si>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</si>
  <si>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</si>
  <si>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</si>
  <si>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</si>
  <si>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</si>
  <si>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</si>
  <si>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</si>
  <si>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</si>
  <si>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</si>
  <si>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</si>
  <si>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</si>
  <si>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</si>
  <si>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</si>
  <si>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</si>
  <si>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</si>
  <si>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</si>
  <si>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</si>
  <si>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</si>
  <si>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</si>
  <si>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</si>
  <si>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</si>
  <si>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</si>
  <si>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</si>
  <si>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</si>
  <si>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</si>
  <si>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</si>
  <si>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</si>
  <si>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</si>
  <si>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</si>
  <si>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</si>
  <si>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</si>
  <si>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</si>
  <si>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</si>
  <si>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</si>
  <si>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</si>
  <si>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</si>
  <si>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</si>
  <si>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</si>
  <si>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</si>
  <si>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</si>
  <si>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</si>
  <si>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</si>
  <si>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</si>
  <si>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</si>
  <si>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</si>
  <si>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</si>
  <si>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</si>
  <si>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</si>
  <si>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</si>
  <si>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</si>
  <si>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</si>
  <si>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</si>
  <si>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</si>
  <si>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</si>
  <si>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</si>
  <si>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</si>
  <si>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</si>
  <si>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</si>
  <si>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</si>
  <si>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</si>
  <si>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</si>
  <si>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</si>
  <si>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</si>
  <si>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</si>
  <si>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</si>
  <si>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</si>
  <si>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</si>
  <si>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</si>
  <si>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</si>
  <si>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</si>
  <si>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</si>
  <si>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</si>
  <si>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</si>
  <si>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</si>
  <si>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</si>
  <si>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</si>
  <si>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</si>
  <si>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</si>
  <si>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</si>
  <si>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</si>
  <si>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</si>
  <si>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</si>
  <si>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</si>
  <si>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</si>
  <si>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</si>
  <si>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</si>
  <si>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</si>
  <si>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</si>
  <si>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</si>
  <si>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</si>
  <si>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</si>
  <si>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</si>
  <si>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</si>
  <si>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</si>
  <si>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</si>
  <si>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</si>
  <si>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</si>
  <si>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</si>
  <si>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</si>
  <si>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</si>
  <si>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</si>
  <si>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</si>
  <si>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</si>
  <si>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</si>
  <si>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</si>
  <si>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</si>
  <si>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</si>
  <si>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</si>
  <si>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</si>
  <si>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</si>
  <si>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</si>
  <si>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</si>
  <si>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</si>
  <si>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</si>
  <si>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</si>
  <si>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</si>
  <si>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</si>
  <si>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</si>
  <si>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</si>
  <si>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</si>
  <si>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</si>
  <si>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</si>
  <si>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</si>
  <si>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</si>
  <si>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</si>
  <si>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</si>
  <si>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</si>
  <si>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</si>
  <si>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</si>
  <si>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</si>
  <si>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</si>
  <si>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</si>
  <si>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</si>
  <si>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</si>
  <si>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</si>
  <si>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</si>
  <si>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</si>
  <si>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</si>
  <si>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</si>
  <si>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</si>
  <si>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</si>
  <si>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</si>
  <si>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</si>
  <si>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</si>
  <si>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</si>
  <si>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</si>
  <si>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</si>
  <si>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</si>
  <si>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</si>
  <si>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</si>
  <si>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</si>
  <si>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</si>
  <si>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</si>
  <si>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</si>
  <si>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</si>
  <si>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</si>
  <si>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</si>
  <si>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</si>
  <si>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</si>
  <si>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</si>
  <si>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</si>
  <si>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</si>
  <si>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</si>
  <si>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</si>
  <si>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</si>
  <si>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</si>
  <si>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</si>
  <si>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</si>
  <si>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</si>
  <si>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</si>
  <si>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</si>
  <si>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</si>
  <si>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</si>
  <si>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</si>
  <si>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</si>
  <si>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</si>
  <si>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</si>
  <si>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</si>
  <si>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</si>
  <si>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</si>
  <si>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</si>
  <si>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</si>
  <si>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</si>
  <si>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</si>
  <si>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</si>
  <si>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</si>
  <si>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</si>
  <si>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</si>
  <si>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</si>
  <si>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</si>
  <si>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</si>
  <si>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</si>
  <si>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</si>
  <si>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</si>
  <si>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</si>
  <si>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</si>
  <si>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</si>
  <si>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</si>
  <si>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</si>
  <si>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</si>
  <si>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</si>
  <si>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</si>
  <si>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</si>
  <si>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</si>
  <si>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</si>
  <si>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</si>
  <si>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</si>
  <si>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</si>
  <si>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</si>
  <si>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</si>
  <si>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</si>
  <si>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</si>
  <si>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</si>
  <si>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</si>
  <si>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</si>
  <si>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</si>
  <si>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</si>
  <si>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</si>
  <si>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</si>
  <si>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</si>
  <si>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</si>
  <si>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</si>
  <si>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</si>
  <si>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</si>
  <si>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</si>
  <si>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</si>
  <si>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</si>
  <si>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</si>
  <si>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</si>
  <si>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</si>
  <si>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</si>
  <si>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</si>
  <si>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</si>
  <si>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</si>
  <si>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</si>
  <si>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</si>
  <si>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</si>
  <si>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</si>
  <si>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</si>
  <si>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</si>
  <si>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</si>
  <si>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</si>
  <si>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</si>
  <si>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</si>
  <si>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</si>
  <si>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</si>
  <si>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</si>
  <si>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</si>
  <si>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</si>
  <si>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</si>
  <si>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</si>
  <si>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</si>
  <si>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</si>
  <si>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</si>
  <si>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</si>
  <si>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</si>
  <si>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</si>
  <si>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</si>
  <si>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</si>
  <si>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</si>
  <si>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</si>
  <si>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</si>
  <si>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</si>
  <si>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</si>
  <si>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</si>
  <si>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</si>
  <si>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</si>
  <si>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</si>
  <si>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</si>
  <si>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</si>
  <si>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</si>
  <si>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</si>
  <si>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</si>
  <si>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</si>
  <si>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</si>
  <si>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</si>
  <si>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</si>
  <si>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</si>
  <si>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</si>
  <si>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</si>
  <si>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</si>
  <si>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</si>
  <si>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</si>
  <si>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</si>
  <si>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</si>
  <si>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</si>
  <si>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</si>
  <si>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</si>
  <si>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</si>
  <si>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</si>
  <si>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</si>
  <si>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</si>
  <si>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</si>
  <si>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</si>
  <si>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</si>
  <si>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</si>
  <si>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</si>
  <si>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</si>
  <si>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</si>
  <si>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</si>
  <si>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</si>
  <si>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</si>
  <si>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</si>
  <si>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</si>
  <si>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</si>
  <si>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</si>
  <si>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</si>
  <si>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</si>
  <si>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</si>
  <si>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</si>
  <si>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</si>
  <si>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</si>
  <si>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</si>
  <si>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</si>
  <si>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</si>
  <si>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</si>
  <si>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</si>
  <si>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</si>
  <si>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</si>
  <si>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</si>
  <si>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</si>
  <si>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</si>
  <si>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</si>
  <si>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</si>
  <si>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</si>
  <si>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</si>
  <si>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</si>
  <si>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</si>
  <si>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</si>
  <si>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</si>
  <si>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</si>
  <si>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</si>
  <si>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</si>
  <si>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</si>
  <si>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</si>
  <si>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</si>
  <si>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</si>
  <si>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</si>
  <si>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</si>
  <si>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</si>
  <si>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</si>
  <si>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</si>
  <si>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</si>
  <si>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</si>
  <si>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</si>
  <si>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</si>
  <si>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</si>
  <si>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</si>
  <si>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</si>
  <si>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</si>
  <si>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</si>
  <si>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</si>
  <si>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</si>
  <si>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</si>
  <si>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</si>
  <si>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</si>
  <si>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</si>
  <si>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</si>
  <si>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</si>
  <si>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</si>
  <si>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</si>
  <si>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</si>
  <si>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</si>
  <si>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</si>
  <si>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</si>
  <si>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</si>
  <si>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</si>
  <si>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</si>
  <si>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</si>
  <si>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</si>
  <si>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</si>
  <si>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</si>
  <si>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</si>
  <si>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</si>
  <si>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</si>
  <si>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</si>
  <si>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</si>
  <si>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</si>
  <si>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</si>
  <si>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</si>
  <si>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</si>
  <si>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</si>
  <si>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</si>
  <si>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</si>
  <si>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</si>
  <si>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</si>
  <si>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</si>
  <si>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</si>
  <si>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</si>
  <si>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</si>
  <si>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</si>
  <si>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</si>
  <si>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</si>
  <si>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</si>
  <si>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</si>
  <si>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</si>
  <si>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</si>
  <si>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</si>
  <si>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</si>
  <si>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</si>
  <si>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</si>
  <si>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</si>
  <si>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</si>
  <si>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</si>
  <si>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</si>
  <si>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</si>
  <si>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</si>
  <si>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</si>
  <si>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</si>
  <si>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</si>
  <si>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</si>
  <si>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</si>
  <si>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</si>
  <si>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</si>
  <si>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</si>
  <si>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</si>
  <si>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</si>
  <si>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</si>
  <si>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</si>
  <si>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</si>
  <si>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</si>
  <si>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</si>
  <si>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</si>
  <si>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</si>
  <si>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</si>
  <si>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</si>
  <si>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</si>
  <si>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</si>
  <si>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</si>
  <si>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</si>
  <si>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</si>
  <si>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</si>
  <si>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</si>
  <si>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</si>
  <si>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</si>
  <si>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</si>
  <si>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</si>
  <si>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</si>
  <si>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</si>
  <si>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</si>
  <si>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</si>
  <si>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</si>
  <si>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</si>
  <si>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</si>
  <si>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</si>
  <si>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</si>
  <si>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</si>
  <si>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</si>
  <si>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</si>
  <si>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</si>
  <si>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</si>
  <si>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</si>
  <si>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</si>
  <si>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</si>
  <si>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</si>
  <si>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</si>
  <si>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</si>
  <si>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</si>
  <si>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</si>
  <si>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</si>
  <si>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</si>
  <si>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</si>
  <si>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</si>
  <si>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</si>
  <si>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</si>
  <si>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</si>
  <si>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</si>
  <si>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</si>
  <si>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</si>
  <si>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</si>
  <si>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</si>
  <si>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</si>
  <si>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</si>
  <si>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</si>
  <si>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</si>
  <si>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</si>
  <si>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</si>
  <si>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</si>
  <si>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</si>
  <si>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</si>
  <si>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</si>
  <si>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</si>
  <si>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</si>
  <si>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</si>
  <si>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</si>
  <si>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</si>
  <si>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</si>
  <si>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</si>
  <si>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</si>
  <si>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</si>
  <si>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</si>
  <si>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</si>
  <si>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</si>
  <si>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</si>
  <si>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</si>
  <si>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</si>
  <si>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</si>
  <si>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</si>
  <si>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</si>
  <si>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</si>
  <si>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</si>
  <si>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</si>
  <si>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</si>
  <si>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</si>
  <si>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</si>
  <si>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</si>
  <si>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</si>
  <si>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</si>
  <si>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</si>
  <si>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</si>
  <si>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</si>
  <si>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</si>
  <si>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</si>
  <si>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</si>
  <si>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</si>
  <si>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</si>
  <si>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</si>
  <si>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</si>
  <si>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</si>
  <si>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</si>
  <si>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</si>
  <si>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</si>
  <si>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</si>
  <si>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</si>
  <si>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</si>
  <si>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</si>
  <si>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</si>
  <si>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</si>
  <si>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</si>
  <si>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</si>
  <si>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</si>
  <si>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</si>
  <si>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</si>
  <si>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</si>
  <si>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</si>
  <si>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</si>
  <si>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</si>
  <si>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</si>
  <si>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</si>
  <si>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</si>
  <si>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</si>
  <si>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</si>
  <si>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</si>
  <si>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</si>
  <si>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</si>
  <si>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</si>
  <si>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</si>
  <si>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</si>
  <si>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</si>
  <si>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</si>
  <si>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</si>
  <si>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</si>
  <si>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</si>
  <si>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</si>
  <si>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</si>
  <si>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</si>
  <si>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</si>
  <si>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</si>
  <si>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</si>
  <si>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</si>
  <si>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</si>
  <si>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</si>
  <si>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</si>
  <si>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</si>
  <si>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</si>
  <si>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</si>
  <si>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</si>
  <si>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</si>
  <si>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</si>
  <si>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</si>
  <si>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</si>
  <si>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</si>
  <si>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</si>
  <si>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</si>
  <si>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</si>
  <si>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</si>
  <si>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</si>
  <si>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</si>
  <si>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</si>
  <si>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</si>
  <si>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</si>
  <si>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</si>
  <si>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</si>
  <si>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</si>
  <si>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</si>
  <si>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</si>
  <si>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</si>
  <si>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</si>
  <si>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</si>
  <si>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</si>
  <si>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</si>
  <si>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</si>
  <si>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</si>
  <si>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</si>
  <si>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</si>
  <si>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</si>
  <si>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</si>
  <si>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</si>
  <si>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</si>
  <si>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</si>
  <si>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</si>
  <si>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</si>
  <si>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</si>
  <si>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</si>
  <si>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</si>
  <si>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</si>
  <si>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</si>
  <si>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</si>
  <si>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</si>
  <si>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</si>
  <si>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</si>
  <si>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</si>
  <si>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</si>
  <si>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</si>
  <si>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</si>
  <si>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</si>
  <si>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</si>
  <si>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</si>
  <si>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</si>
  <si>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</si>
  <si>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</si>
  <si>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</si>
  <si>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</si>
  <si>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</si>
  <si>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</si>
  <si>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</si>
  <si>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</si>
  <si>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</si>
  <si>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</si>
  <si>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</si>
  <si>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</si>
  <si>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</si>
  <si>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</si>
  <si>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</si>
  <si>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</si>
  <si>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</si>
  <si>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</si>
  <si>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</si>
  <si>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</si>
  <si>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</si>
  <si>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</si>
  <si>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</si>
  <si>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</si>
  <si>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</si>
  <si>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</si>
  <si>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</si>
  <si>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</si>
  <si>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</si>
  <si>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</si>
  <si>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</si>
  <si>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</si>
  <si>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</si>
  <si>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</si>
  <si>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</si>
  <si>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</si>
  <si>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</si>
  <si>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</si>
  <si>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</si>
  <si>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</si>
  <si>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</si>
  <si>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</si>
  <si>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</si>
  <si>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</si>
  <si>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</si>
  <si>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</si>
  <si>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</si>
  <si>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</si>
  <si>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</si>
  <si>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</si>
  <si>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</si>
  <si>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</si>
  <si>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</si>
  <si>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</si>
  <si>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</si>
  <si>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</si>
  <si>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</si>
  <si>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</si>
  <si>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</si>
  <si>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</si>
  <si>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</si>
  <si>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</si>
  <si>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</si>
  <si>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</si>
  <si>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</si>
  <si>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</si>
  <si>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</si>
  <si>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</si>
  <si>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</si>
  <si>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</si>
  <si>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</si>
  <si>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</si>
  <si>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</si>
  <si>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</si>
  <si>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</si>
  <si>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</si>
  <si>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</si>
  <si>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</si>
  <si>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</si>
  <si>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</si>
  <si>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</si>
  <si>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</si>
  <si>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</si>
  <si>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</si>
  <si>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</si>
  <si>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</si>
  <si>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</si>
  <si>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</si>
  <si>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</si>
  <si>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</si>
  <si>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</si>
  <si>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</si>
  <si>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</si>
  <si>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</si>
  <si>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</si>
  <si>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</si>
  <si>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</si>
  <si>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</si>
  <si>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</si>
  <si>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</si>
  <si>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</si>
  <si>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</si>
  <si>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</si>
  <si>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</si>
  <si>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</si>
  <si>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</si>
  <si>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</si>
  <si>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</si>
  <si>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</si>
  <si>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</si>
  <si>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</si>
  <si>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</si>
  <si>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</si>
  <si>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</si>
  <si>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</si>
  <si>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</si>
  <si>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</si>
  <si>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</si>
  <si>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</si>
  <si>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</si>
  <si>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</si>
  <si>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</si>
  <si>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</si>
  <si>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</si>
  <si>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</si>
  <si>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</si>
  <si>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</si>
  <si>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</si>
  <si>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</si>
  <si>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</si>
  <si>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</si>
  <si>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</si>
  <si>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</si>
  <si>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</si>
  <si>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</si>
  <si>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</si>
  <si>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</si>
  <si>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</si>
  <si>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</si>
  <si>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</si>
  <si>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</si>
  <si>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</si>
  <si>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</si>
  <si>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</si>
  <si>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</si>
  <si>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</si>
  <si>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</si>
  <si>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</si>
  <si>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</si>
  <si>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</si>
  <si>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</si>
  <si>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</si>
  <si>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</si>
  <si>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</si>
  <si>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</si>
  <si>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</si>
  <si>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</si>
  <si>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</si>
  <si>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</si>
  <si>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</si>
  <si>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</si>
  <si>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</si>
  <si>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</si>
  <si>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</si>
  <si>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</si>
  <si>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</si>
  <si>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</si>
  <si>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</si>
  <si>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</si>
  <si>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</si>
  <si>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</si>
  <si>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</si>
  <si>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</si>
  <si>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</si>
  <si>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</si>
  <si>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</si>
  <si>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</si>
  <si>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</si>
  <si>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</si>
  <si>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</si>
  <si>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</si>
  <si>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</si>
  <si>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</si>
  <si>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</si>
  <si>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</si>
  <si>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</si>
  <si>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</si>
  <si>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</si>
  <si>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</si>
  <si>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</si>
  <si>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</si>
  <si>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</si>
  <si>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</si>
  <si>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</si>
  <si>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</si>
  <si>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</si>
  <si>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</si>
  <si>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</si>
  <si>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</si>
  <si>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</si>
  <si>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</si>
  <si>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</si>
  <si>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</si>
  <si>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</si>
  <si>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</si>
  <si>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</si>
  <si>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</si>
  <si>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</si>
  <si>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</si>
  <si>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</si>
  <si>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</si>
  <si>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</si>
  <si>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</si>
  <si>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</si>
  <si>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</si>
  <si>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</si>
  <si>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</si>
  <si>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</si>
  <si>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</si>
  <si>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</si>
  <si>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</si>
  <si>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</si>
  <si>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</si>
  <si>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</si>
  <si>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</si>
  <si>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</si>
  <si>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</si>
  <si>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</si>
  <si>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</si>
  <si>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</si>
  <si>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</si>
  <si>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</si>
  <si>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</si>
  <si>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</si>
  <si>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</si>
  <si>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</si>
  <si>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</si>
  <si>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</si>
  <si>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</si>
  <si>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</si>
  <si>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</si>
  <si>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</si>
  <si>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</si>
  <si>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</si>
  <si>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</si>
  <si>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</si>
  <si>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</si>
  <si>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</si>
  <si>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</si>
  <si>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</si>
  <si>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</si>
  <si>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</si>
  <si>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</si>
  <si>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</si>
  <si>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</si>
  <si>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</si>
  <si>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</si>
  <si>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</si>
  <si>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</si>
  <si>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</si>
  <si>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</si>
  <si>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</si>
  <si>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</si>
  <si>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</si>
  <si>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</si>
  <si>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</si>
  <si>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</si>
  <si>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</si>
  <si>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</si>
  <si>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</si>
  <si>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</si>
  <si>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</si>
  <si>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</si>
  <si>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</si>
  <si>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</si>
  <si>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</si>
  <si>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</si>
  <si>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</si>
  <si>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</si>
  <si>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</si>
  <si>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</si>
  <si>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</si>
  <si>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</si>
  <si>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</si>
  <si>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</si>
  <si>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</si>
  <si>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</si>
  <si>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</si>
  <si>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</si>
  <si>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</si>
  <si>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</si>
  <si>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</si>
  <si>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</si>
  <si>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</si>
  <si>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</si>
  <si>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</si>
  <si>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</si>
  <si>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</si>
  <si>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</si>
  <si>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</si>
  <si>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</si>
  <si>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</si>
  <si>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</si>
  <si>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</si>
  <si>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</si>
  <si>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</si>
  <si>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</si>
  <si>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</si>
  <si>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</si>
  <si>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</si>
  <si>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</si>
  <si>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</si>
  <si>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</si>
  <si>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</si>
  <si>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</si>
  <si>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</si>
  <si>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</si>
  <si>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</si>
  <si>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</si>
  <si>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</si>
  <si>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</si>
  <si>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</si>
  <si>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</si>
  <si>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</si>
  <si>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</si>
  <si>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</si>
  <si>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</si>
  <si>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</si>
  <si>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</si>
  <si>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</si>
  <si>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</si>
  <si>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</si>
  <si>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</si>
  <si>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</si>
  <si>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</si>
  <si>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</si>
  <si>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</si>
  <si>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</si>
  <si>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</si>
  <si>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</si>
  <si>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</si>
  <si>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</si>
  <si>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</si>
  <si>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</si>
  <si>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</si>
  <si>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</si>
  <si>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</si>
  <si>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</si>
  <si>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</si>
  <si>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</si>
  <si>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</si>
  <si>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</si>
  <si>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</si>
  <si>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</si>
  <si>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</si>
  <si>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</si>
  <si>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</si>
  <si>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</si>
  <si>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</si>
  <si>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</si>
  <si>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</si>
  <si>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</si>
  <si>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</si>
  <si>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</si>
  <si>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</si>
  <si>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</si>
  <si>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</si>
  <si>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</si>
  <si>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</si>
  <si>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</si>
  <si>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</si>
  <si>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</si>
  <si>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</si>
  <si>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</si>
  <si>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</si>
  <si>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</si>
  <si>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</si>
  <si>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</si>
  <si>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</si>
  <si>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</si>
  <si>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</si>
  <si>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</si>
  <si>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</si>
  <si>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</si>
  <si>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</si>
  <si>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</si>
  <si>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</si>
  <si>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</si>
  <si>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</si>
  <si>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</si>
  <si>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</si>
  <si>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</si>
  <si>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</si>
  <si>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</si>
  <si>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</si>
  <si>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</si>
  <si>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</si>
  <si>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</si>
  <si>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</si>
  <si>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</si>
  <si>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</si>
  <si>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</si>
  <si>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</si>
  <si>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</si>
  <si>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</si>
  <si>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</si>
  <si>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</si>
  <si>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</si>
  <si>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</si>
  <si>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</si>
  <si>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</si>
  <si>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</si>
  <si>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</si>
  <si>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</si>
  <si>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</si>
  <si>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</si>
  <si>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</si>
  <si>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</si>
  <si>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</si>
  <si>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</si>
  <si>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</si>
  <si>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</si>
  <si>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</si>
  <si>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</si>
  <si>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</si>
  <si>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</si>
  <si>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</si>
  <si>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</si>
  <si>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</si>
  <si>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</si>
  <si>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</si>
  <si>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</si>
  <si>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</si>
  <si>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</si>
  <si>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</si>
  <si>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</si>
  <si>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</si>
  <si>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</si>
  <si>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</si>
  <si>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</si>
  <si>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</si>
  <si>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</si>
  <si>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</si>
  <si>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</si>
  <si>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</si>
  <si>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</si>
  <si>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</si>
  <si>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</si>
  <si>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</si>
  <si>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</si>
  <si>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</si>
  <si>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</si>
  <si>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</si>
  <si>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</si>
  <si>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</si>
  <si>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</si>
  <si>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</si>
  <si>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</si>
  <si>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</si>
  <si>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</si>
  <si>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</si>
  <si>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</si>
  <si>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</si>
  <si>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</si>
  <si>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</si>
  <si>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</si>
  <si>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</si>
  <si>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</si>
  <si>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</si>
  <si>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</si>
  <si>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</si>
  <si>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</si>
  <si>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</si>
  <si>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</si>
  <si>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</si>
  <si>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</si>
  <si>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</si>
  <si>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</si>
  <si>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</si>
  <si>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</si>
  <si>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</si>
  <si>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</si>
  <si>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</si>
  <si>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</si>
  <si>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</si>
  <si>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</si>
  <si>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</si>
  <si>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</si>
  <si>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</si>
  <si>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</si>
  <si>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</si>
  <si>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</si>
  <si>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</si>
  <si>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</si>
  <si>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</si>
  <si>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</si>
  <si>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</si>
  <si>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</si>
  <si>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</si>
  <si>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</si>
  <si>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</si>
  <si>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</si>
  <si>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</si>
  <si>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</si>
  <si>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</si>
  <si>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</si>
  <si>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</si>
  <si>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</si>
  <si>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</si>
  <si>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</si>
  <si>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</si>
  <si>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</si>
  <si>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</si>
  <si>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</si>
  <si>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</si>
  <si>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</si>
  <si>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</si>
  <si>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</si>
  <si>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</si>
  <si>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</si>
  <si>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</si>
  <si>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</si>
  <si>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</si>
  <si>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</si>
  <si>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</si>
  <si>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</si>
  <si>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</si>
  <si>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</si>
  <si>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</si>
  <si>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</si>
  <si>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</si>
  <si>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</si>
  <si>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</si>
  <si>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</si>
  <si>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</si>
  <si>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</si>
  <si>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</si>
  <si>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</si>
  <si>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</si>
  <si>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</si>
  <si>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</si>
  <si>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</si>
  <si>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</si>
  <si>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</si>
  <si>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</si>
  <si>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</si>
  <si>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</si>
  <si>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</si>
  <si>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</si>
  <si>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</si>
  <si>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</si>
  <si>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</si>
  <si>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</si>
  <si>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</si>
  <si>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</si>
  <si>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</si>
  <si>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</si>
  <si>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</si>
  <si>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</si>
  <si>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</si>
  <si>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</si>
  <si>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</si>
  <si>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</si>
  <si>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</si>
  <si>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</si>
  <si>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</si>
  <si>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</si>
  <si>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</si>
  <si>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</si>
  <si>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</si>
  <si>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</si>
  <si>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</si>
  <si>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</si>
  <si>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</si>
  <si>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</si>
  <si>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</si>
  <si>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</si>
  <si>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</si>
  <si>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</si>
  <si>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</si>
  <si>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</si>
  <si>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</si>
  <si>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</si>
  <si>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</si>
  <si>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</si>
  <si>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</si>
  <si>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</si>
  <si>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</si>
  <si>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</si>
  <si>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</si>
  <si>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</si>
  <si>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</si>
  <si>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</si>
  <si>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</si>
  <si>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</si>
  <si>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</si>
  <si>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</si>
  <si>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</si>
  <si>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</si>
  <si>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</si>
  <si>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</si>
  <si>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</si>
  <si>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</si>
  <si>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</si>
  <si>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</si>
  <si>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</si>
  <si>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</si>
  <si>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</si>
  <si>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</si>
  <si>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</si>
  <si>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</si>
  <si>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</si>
  <si>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</si>
  <si>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</si>
  <si>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</si>
  <si>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</si>
  <si>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</si>
  <si>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</si>
  <si>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</si>
  <si>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</si>
  <si>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</si>
  <si>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</si>
  <si>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</si>
  <si>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</si>
  <si>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</si>
  <si>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</si>
  <si>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</si>
  <si>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</si>
  <si>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</si>
  <si>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</si>
  <si>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</si>
  <si>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</si>
  <si>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</si>
  <si>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</si>
  <si>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</si>
  <si>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</si>
  <si>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</si>
  <si>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</si>
  <si>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</si>
  <si>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</si>
  <si>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</si>
  <si>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</si>
  <si>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</si>
  <si>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</si>
  <si>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</si>
  <si>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</si>
  <si>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</si>
  <si>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</si>
  <si>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</si>
  <si>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</si>
  <si>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</si>
  <si>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</si>
  <si>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</si>
  <si>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</si>
  <si>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</si>
  <si>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</si>
  <si>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</si>
  <si>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</si>
  <si>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</si>
  <si>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</si>
  <si>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</si>
  <si>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</si>
  <si>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</si>
  <si>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</si>
  <si>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</si>
  <si>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</si>
  <si>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</si>
  <si>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</si>
  <si>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</si>
  <si>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</si>
  <si>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</si>
  <si>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</si>
  <si>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</si>
  <si>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</si>
  <si>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</si>
  <si>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</si>
  <si>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</si>
  <si>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</si>
  <si>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</si>
  <si>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</si>
  <si>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</si>
  <si>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</si>
  <si>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</si>
  <si>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</si>
  <si>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</si>
  <si>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</si>
  <si>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</si>
  <si>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</si>
  <si>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</si>
  <si>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</si>
  <si>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</si>
  <si>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</si>
  <si>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</si>
  <si>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</si>
  <si>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</si>
  <si>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</si>
  <si>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</si>
  <si>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</si>
  <si>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</si>
  <si>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</si>
  <si>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</si>
  <si>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</si>
  <si>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</si>
  <si>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</si>
  <si>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</si>
  <si>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</si>
  <si>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</si>
  <si>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</si>
  <si>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</si>
  <si>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</si>
  <si>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</si>
  <si>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</si>
  <si>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</si>
  <si>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</si>
  <si>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</si>
  <si>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</si>
  <si>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</si>
  <si>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</si>
  <si>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</si>
  <si>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</si>
  <si>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</si>
  <si>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</si>
  <si>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</si>
  <si>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</si>
  <si>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</si>
  <si>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</si>
  <si>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</si>
  <si>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</si>
  <si>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</si>
  <si>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</si>
  <si>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</si>
  <si>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</si>
  <si>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</si>
  <si>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</si>
  <si>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</si>
  <si>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</si>
  <si>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</si>
  <si>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</si>
  <si>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</si>
  <si>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</si>
  <si>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</si>
  <si>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</si>
  <si>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</si>
  <si>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</si>
  <si>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</si>
  <si>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</si>
  <si>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</si>
  <si>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</si>
  <si>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</si>
  <si>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</si>
  <si>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</si>
  <si>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</si>
  <si>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</si>
  <si>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</si>
  <si>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</si>
  <si>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</si>
  <si>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</si>
  <si>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</si>
  <si>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</si>
  <si>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</si>
  <si>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</si>
  <si>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</si>
  <si>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</si>
  <si>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</si>
  <si>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</si>
  <si>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</si>
  <si>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</si>
  <si>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</si>
  <si>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</si>
  <si>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</si>
  <si>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</si>
  <si>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</si>
  <si>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</si>
  <si>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</si>
  <si>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</si>
  <si>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</si>
  <si>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</si>
  <si>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</si>
  <si>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</si>
  <si>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</si>
  <si>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</si>
  <si>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</si>
  <si>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</si>
  <si>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</si>
  <si>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</si>
  <si>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</si>
  <si>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</si>
  <si>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</si>
  <si>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</si>
  <si>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</si>
  <si>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</si>
  <si>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</si>
  <si>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</si>
  <si>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</si>
  <si>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</si>
  <si>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</si>
  <si>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</si>
  <si>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</si>
  <si>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</si>
  <si>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</si>
  <si>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</si>
  <si>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</si>
  <si>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</si>
  <si>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</si>
  <si>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</si>
  <si>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</si>
  <si>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</si>
  <si>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</si>
  <si>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</si>
  <si>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</si>
  <si>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</si>
  <si>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</si>
  <si>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</si>
  <si>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</si>
  <si>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</si>
  <si>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</si>
  <si>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</si>
  <si>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</si>
  <si>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</si>
  <si>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</si>
  <si>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</si>
  <si>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</si>
  <si>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</si>
  <si>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</si>
  <si>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</si>
  <si>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</si>
  <si>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</si>
  <si>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</si>
  <si>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</si>
  <si>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</si>
  <si>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</si>
  <si>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</si>
  <si>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</si>
  <si>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</si>
  <si>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</si>
  <si>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</si>
  <si>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</si>
  <si>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</si>
  <si>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</si>
  <si>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</si>
  <si>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</si>
  <si>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</si>
  <si>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</si>
  <si>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</si>
  <si>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</si>
  <si>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</si>
  <si>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</si>
  <si>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</si>
  <si>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</si>
  <si>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</si>
  <si>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</si>
  <si>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</si>
  <si>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</si>
  <si>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</si>
  <si>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</si>
  <si>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</si>
  <si>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</si>
  <si>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</si>
  <si>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</si>
  <si>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</si>
  <si>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</si>
  <si>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</si>
  <si>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</si>
  <si>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</si>
  <si>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</si>
  <si>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</si>
  <si>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</si>
  <si>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</si>
  <si>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</si>
  <si>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</si>
  <si>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</si>
  <si>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</si>
  <si>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</si>
  <si>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</si>
  <si>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</si>
  <si>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</si>
  <si>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</si>
  <si>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</si>
  <si>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</si>
  <si>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</si>
  <si>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</si>
  <si>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</si>
  <si>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</si>
  <si>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</si>
  <si>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</si>
  <si>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</si>
  <si>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</si>
  <si>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</si>
  <si>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</si>
  <si>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</si>
  <si>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</si>
  <si>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</si>
  <si>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</si>
  <si>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</si>
  <si>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</si>
  <si>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</si>
  <si>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</si>
  <si>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</si>
  <si>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</si>
  <si>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</si>
  <si>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</si>
  <si>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</si>
  <si>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</si>
  <si>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</si>
  <si>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</si>
  <si>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</si>
  <si>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</si>
  <si>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</si>
  <si>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</si>
  <si>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</si>
  <si>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</si>
  <si>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</si>
  <si>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</si>
  <si>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</si>
  <si>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</si>
  <si>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</si>
  <si>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</si>
  <si>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</si>
  <si>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</si>
  <si>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</si>
  <si>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</si>
  <si>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</si>
  <si>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</si>
  <si>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</si>
  <si>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</si>
  <si>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</si>
  <si>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</si>
  <si>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</si>
  <si>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</si>
  <si>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</si>
  <si>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</si>
  <si>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</si>
  <si>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</si>
  <si>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</si>
  <si>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</si>
  <si>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</si>
  <si>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</si>
  <si>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</si>
  <si>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</si>
  <si>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</si>
  <si>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</si>
  <si>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</si>
  <si>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</si>
  <si>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</si>
  <si>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</si>
  <si>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</si>
  <si>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</si>
  <si>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</si>
  <si>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</si>
  <si>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</si>
  <si>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</si>
  <si>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</si>
  <si>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</si>
  <si>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</si>
  <si>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</si>
  <si>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</si>
  <si>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</si>
  <si>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</si>
  <si>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</si>
  <si>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</si>
  <si>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</si>
  <si>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</si>
  <si>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</si>
  <si>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</si>
  <si>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</si>
  <si>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</si>
  <si>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</si>
  <si>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</si>
  <si>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</si>
  <si>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</si>
  <si>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</si>
  <si>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</si>
  <si>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</si>
  <si>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</si>
  <si>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</si>
  <si>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</si>
  <si>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</si>
  <si>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</si>
  <si>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</si>
  <si>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</si>
  <si>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</si>
  <si>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</si>
  <si>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</si>
  <si>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</si>
  <si>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</si>
  <si>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</si>
  <si>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</si>
  <si>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</si>
  <si>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</si>
  <si>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</si>
  <si>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</si>
  <si>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</si>
  <si>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</si>
  <si>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</si>
  <si>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</si>
  <si>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</si>
  <si>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</si>
  <si>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</si>
  <si>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</si>
  <si>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</si>
  <si>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</si>
  <si>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</si>
  <si>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</si>
  <si>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</si>
  <si>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</si>
  <si>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</si>
  <si>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</si>
  <si>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</si>
  <si>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</si>
  <si>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</si>
  <si>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</si>
  <si>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</si>
  <si>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</si>
  <si>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</si>
  <si>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</si>
  <si>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</si>
  <si>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</si>
  <si>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</si>
  <si>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</si>
  <si>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</si>
  <si>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</si>
  <si>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</si>
  <si>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</si>
  <si>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</si>
  <si>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</si>
  <si>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</si>
  <si>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</si>
  <si>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</si>
  <si>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</si>
  <si>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</si>
  <si>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</si>
  <si>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</si>
  <si>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</si>
  <si>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</si>
  <si>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</si>
  <si>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</si>
  <si>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</si>
  <si>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</si>
  <si>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</si>
  <si>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</si>
  <si>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</si>
  <si>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</si>
  <si>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</si>
  <si>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</si>
  <si>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</si>
  <si>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</si>
  <si>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</si>
  <si>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</si>
  <si>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</si>
  <si>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</si>
  <si>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</si>
  <si>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</si>
  <si>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</si>
  <si>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</si>
  <si>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</si>
  <si>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</si>
  <si>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</si>
  <si>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</si>
  <si>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</si>
  <si>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</si>
  <si>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</si>
  <si>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</si>
  <si>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</si>
  <si>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</si>
  <si>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</si>
  <si>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</si>
  <si>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</si>
  <si>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</si>
  <si>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</si>
  <si>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</si>
  <si>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</si>
  <si>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</si>
  <si>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</si>
  <si>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</si>
  <si>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</si>
  <si>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</si>
  <si>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</si>
  <si>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</si>
  <si>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</si>
  <si>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</si>
  <si>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</si>
  <si>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</si>
  <si>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</si>
  <si>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</si>
  <si>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</si>
  <si>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</si>
  <si>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</si>
  <si>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</si>
  <si>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</si>
  <si>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</si>
  <si>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</si>
  <si>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</si>
  <si>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</si>
  <si>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</si>
  <si>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</si>
  <si>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</si>
  <si>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</si>
  <si>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</si>
  <si>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</si>
  <si>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</si>
  <si>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</si>
  <si>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</si>
  <si>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</si>
  <si>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</si>
  <si>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</si>
  <si>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</si>
  <si>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</si>
  <si>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</si>
  <si>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</si>
  <si>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</si>
  <si>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</si>
  <si>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</si>
  <si>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</si>
  <si>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</si>
  <si>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</si>
  <si>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</si>
  <si>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</si>
  <si>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</si>
  <si>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</si>
  <si>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</si>
  <si>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</si>
  <si>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</si>
  <si>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</si>
  <si>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</si>
  <si>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</si>
  <si>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</si>
  <si>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</si>
  <si>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</si>
  <si>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</si>
  <si>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</si>
  <si>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</si>
  <si>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</si>
  <si>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</si>
  <si>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</si>
  <si>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</si>
  <si>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</si>
  <si>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</si>
  <si>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</si>
  <si>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</si>
  <si>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</si>
  <si>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</si>
  <si>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</si>
  <si>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</si>
  <si>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</si>
  <si>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</si>
  <si>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</si>
  <si>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</si>
  <si>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</si>
  <si>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</si>
  <si>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</si>
  <si>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</si>
  <si>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</si>
  <si>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</si>
  <si>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</si>
  <si>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</si>
  <si>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</si>
  <si>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</si>
  <si>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</si>
  <si>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</si>
  <si>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</si>
  <si>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</si>
  <si>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</si>
  <si>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</si>
  <si>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</si>
  <si>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</si>
  <si>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</si>
  <si>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</si>
  <si>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</si>
  <si>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</si>
  <si>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</si>
  <si>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</si>
  <si>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</si>
  <si>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</si>
  <si>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</si>
  <si>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</si>
  <si>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</si>
  <si>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</si>
  <si>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</si>
  <si>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</si>
  <si>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</si>
  <si>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</si>
  <si>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</si>
  <si>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</si>
  <si>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</si>
  <si>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</si>
  <si>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</si>
  <si>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</si>
  <si>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</si>
  <si>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</si>
  <si>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</si>
  <si>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</si>
  <si>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</si>
  <si>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</si>
  <si>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</si>
  <si>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</si>
  <si>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</si>
  <si>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</si>
  <si>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</si>
  <si>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</si>
  <si>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</si>
  <si>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</si>
  <si>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</si>
  <si>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</si>
  <si>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</si>
  <si>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</si>
  <si>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</si>
  <si>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</si>
  <si>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</si>
  <si>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</si>
  <si>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</si>
  <si>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</si>
  <si>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</si>
  <si>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</si>
  <si>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</si>
  <si>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</si>
  <si>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</si>
  <si>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</si>
  <si>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</si>
  <si>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</si>
  <si>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</si>
  <si>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</si>
  <si>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</si>
  <si>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</si>
  <si>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</si>
  <si>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</si>
  <si>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</si>
  <si>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</si>
  <si>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</si>
  <si>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</si>
  <si>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</si>
  <si>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</si>
  <si>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</si>
  <si>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</si>
  <si>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</si>
  <si>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</si>
  <si>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</si>
  <si>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</si>
  <si>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</si>
  <si>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</si>
  <si>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</si>
  <si>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</si>
  <si>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</si>
  <si>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</si>
  <si>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</si>
  <si>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</si>
  <si>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</si>
  <si>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</si>
  <si>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</si>
  <si>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</si>
  <si>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</si>
  <si>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</si>
  <si>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</si>
  <si>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</si>
  <si>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</si>
  <si>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</si>
  <si>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</si>
  <si>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</si>
  <si>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</si>
  <si>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</si>
  <si>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</si>
  <si>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</si>
  <si>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</si>
  <si>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</si>
  <si>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</si>
  <si>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</si>
  <si>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</si>
  <si>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</si>
  <si>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</si>
  <si>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</si>
  <si>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</si>
  <si>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</si>
  <si>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</si>
  <si>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</si>
  <si>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</si>
  <si>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</si>
  <si>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</si>
  <si>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</si>
  <si>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</si>
  <si>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</si>
  <si>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</si>
  <si>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</si>
  <si>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</si>
  <si>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</si>
  <si>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</si>
  <si>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</si>
  <si>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</si>
  <si>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</si>
  <si>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</si>
  <si>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</si>
  <si>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</si>
  <si>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</si>
  <si>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</si>
  <si>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</si>
  <si>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</si>
  <si>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</si>
  <si>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</si>
  <si>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</si>
  <si>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</si>
  <si>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</si>
  <si>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</si>
  <si>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</si>
  <si>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</si>
  <si>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</si>
  <si>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</si>
  <si>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</si>
  <si>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</si>
  <si>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</si>
  <si>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</si>
  <si>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</si>
  <si>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</si>
  <si>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</si>
  <si>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</si>
  <si>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</si>
  <si>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</si>
  <si>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</si>
  <si>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</si>
  <si>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</si>
  <si>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</si>
  <si>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</si>
  <si>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</si>
  <si>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</si>
  <si>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</si>
  <si>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</si>
  <si>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</si>
  <si>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</si>
  <si>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</si>
  <si>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</si>
  <si>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</si>
  <si>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</si>
  <si>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</si>
  <si>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</si>
  <si>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</si>
  <si>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</si>
  <si>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</si>
  <si>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</si>
  <si>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</si>
  <si>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</si>
  <si>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</si>
  <si>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</si>
  <si>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</si>
  <si>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</si>
  <si>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</si>
  <si>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</si>
  <si>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</si>
  <si>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</si>
  <si>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</si>
  <si>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</si>
  <si>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</si>
  <si>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</si>
  <si>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</si>
  <si>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</si>
  <si>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</si>
  <si>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</si>
  <si>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</si>
  <si>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</si>
  <si>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</si>
  <si>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</si>
  <si>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</si>
  <si>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</si>
  <si>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</si>
  <si>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</si>
  <si>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</si>
  <si>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</si>
  <si>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</si>
  <si>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</si>
  <si>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</si>
  <si>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</si>
  <si>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</si>
  <si>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</si>
  <si>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</si>
  <si>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</si>
  <si>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</si>
  <si>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</si>
  <si>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</si>
  <si>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</si>
  <si>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</si>
  <si>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</si>
  <si>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</si>
  <si>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</si>
  <si>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</si>
  <si>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</si>
  <si>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</si>
  <si>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</si>
  <si>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</si>
  <si>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</si>
  <si>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</si>
  <si>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</si>
  <si>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</si>
  <si>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</si>
  <si>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</si>
  <si>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</si>
  <si>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</si>
  <si>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</si>
  <si>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</si>
  <si>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</si>
  <si>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</si>
  <si>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</si>
  <si>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</si>
  <si>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</si>
  <si>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</si>
  <si>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</si>
  <si>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</si>
  <si>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</si>
  <si>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</si>
  <si>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</si>
  <si>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</si>
  <si>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</si>
  <si>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</si>
  <si>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</si>
  <si>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</si>
  <si>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</si>
  <si>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</si>
  <si>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</si>
  <si>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</si>
  <si>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</si>
  <si>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</si>
  <si>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</si>
  <si>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</si>
  <si>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</si>
  <si>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</si>
  <si>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</si>
  <si>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</si>
  <si>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</si>
  <si>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</si>
  <si>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</si>
  <si>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</si>
  <si>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</si>
  <si>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</si>
  <si>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</si>
  <si>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</si>
  <si>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</si>
  <si>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</si>
  <si>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</si>
  <si>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</si>
  <si>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</si>
  <si>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</si>
  <si>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</si>
  <si>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</si>
  <si>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</si>
  <si>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</si>
  <si>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</si>
  <si>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</si>
  <si>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</si>
  <si>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</si>
  <si>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</si>
  <si>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</si>
  <si>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</si>
  <si>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</si>
  <si>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</si>
  <si>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</si>
  <si>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</si>
  <si>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</si>
  <si>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</si>
  <si>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</si>
  <si>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</si>
  <si>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</si>
  <si>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</si>
  <si>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</si>
  <si>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</si>
  <si>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</si>
  <si>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</si>
  <si>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</si>
  <si>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</si>
  <si>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</si>
  <si>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</si>
  <si>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</si>
  <si>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</si>
  <si>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</si>
  <si>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</si>
  <si>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</si>
  <si>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</si>
  <si>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</si>
  <si>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</si>
  <si>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</si>
  <si>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</si>
  <si>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</si>
  <si>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</si>
  <si>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</si>
  <si>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</si>
  <si>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</si>
  <si>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</si>
  <si>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</si>
  <si>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</si>
  <si>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</si>
  <si>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</si>
  <si>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</si>
  <si>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</si>
  <si>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</si>
  <si>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</si>
  <si>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</si>
  <si>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</si>
  <si>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</si>
  <si>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</si>
  <si>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</si>
  <si>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</si>
  <si>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</si>
  <si>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</si>
  <si>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</si>
  <si>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</si>
  <si>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</si>
  <si>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</si>
  <si>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</si>
  <si>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</si>
  <si>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</si>
  <si>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</si>
  <si>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</si>
  <si>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</si>
  <si>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</si>
  <si>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</si>
  <si>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</si>
  <si>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</si>
  <si>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</si>
  <si>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</si>
  <si>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</si>
  <si>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</si>
  <si>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</si>
  <si>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</si>
  <si>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</si>
  <si>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</si>
  <si>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</si>
  <si>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</si>
  <si>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</si>
  <si>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</si>
  <si>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</si>
  <si>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</si>
  <si>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</si>
  <si>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</si>
  <si>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</si>
  <si>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</si>
  <si>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</si>
  <si>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</si>
  <si>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</si>
  <si>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</si>
  <si>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</si>
  <si>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</si>
  <si>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</si>
  <si>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</si>
  <si>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</si>
  <si>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</si>
  <si>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</si>
  <si>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</si>
  <si>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</si>
  <si>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</si>
  <si>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</si>
  <si>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</si>
  <si>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</si>
  <si>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</si>
  <si>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</si>
  <si>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</si>
  <si>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</si>
  <si>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</si>
  <si>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</si>
  <si>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</si>
  <si>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</si>
  <si>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</si>
  <si>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</si>
  <si>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</si>
  <si>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</si>
  <si>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</si>
  <si>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</si>
  <si>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</si>
  <si>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</si>
  <si>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</si>
  <si>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</si>
  <si>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</si>
  <si>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</si>
  <si>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</si>
  <si>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</si>
  <si>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</si>
  <si>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</si>
  <si>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</si>
  <si>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</si>
  <si>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</si>
  <si>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</si>
  <si>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</si>
  <si>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</si>
  <si>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</si>
  <si>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</si>
  <si>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</si>
  <si>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</si>
  <si>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</si>
  <si>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</si>
  <si>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</si>
  <si>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</si>
  <si>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</si>
  <si>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</si>
  <si>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</si>
  <si>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</si>
  <si>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</si>
  <si>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</si>
  <si>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</si>
  <si>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</si>
  <si>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</si>
  <si>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</si>
  <si>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</si>
  <si>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</si>
  <si>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</si>
  <si>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</si>
  <si>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</si>
  <si>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</si>
  <si>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</si>
  <si>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</si>
  <si>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</si>
  <si>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</si>
  <si>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</si>
  <si>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</si>
  <si>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</si>
  <si>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</si>
  <si>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</si>
  <si>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</si>
  <si>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</si>
  <si>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</si>
  <si>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</si>
  <si>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</si>
  <si>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</si>
  <si>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</si>
  <si>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</si>
  <si>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</si>
  <si>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</si>
  <si>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</si>
  <si>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</si>
  <si>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</si>
  <si>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</si>
  <si>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</si>
  <si>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</si>
  <si>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</si>
  <si>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</si>
  <si>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</si>
  <si>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</si>
  <si>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</si>
  <si>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</si>
  <si>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</si>
  <si>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</si>
  <si>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</si>
  <si>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</si>
  <si>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</si>
  <si>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</si>
  <si>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</si>
  <si>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</si>
  <si>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</si>
  <si>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</si>
  <si>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</si>
  <si>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</si>
  <si>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</si>
  <si>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</si>
  <si>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</si>
  <si>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</si>
  <si>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</si>
  <si>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</si>
  <si>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</si>
  <si>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</si>
  <si>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</si>
  <si>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</si>
  <si>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</si>
  <si>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</si>
  <si>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</si>
  <si>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</si>
  <si>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</si>
  <si>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</si>
  <si>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</si>
  <si>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</si>
  <si>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</si>
  <si>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</si>
  <si>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</si>
  <si>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</si>
  <si>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</si>
  <si>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</si>
  <si>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</si>
  <si>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</si>
  <si>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</si>
  <si>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</si>
  <si>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</si>
  <si>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</si>
  <si>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</si>
  <si>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</si>
  <si>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</si>
  <si>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</si>
  <si>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</si>
  <si>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</si>
  <si>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</si>
  <si>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</si>
  <si>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</si>
  <si>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</si>
  <si>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</si>
  <si>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</si>
  <si>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</si>
  <si>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</si>
  <si>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</si>
  <si>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</si>
  <si>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</si>
  <si>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</si>
  <si>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</si>
  <si>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</si>
  <si>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</si>
  <si>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</si>
  <si>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</si>
  <si>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</si>
  <si>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</si>
  <si>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</si>
  <si>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</si>
  <si>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</si>
  <si>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</si>
  <si>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</si>
  <si>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</si>
  <si>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</si>
  <si>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</si>
  <si>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</si>
  <si>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</si>
  <si>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</si>
  <si>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</si>
  <si>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</si>
  <si>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</si>
  <si>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</si>
  <si>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</si>
  <si>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</si>
  <si>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</si>
  <si>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</si>
  <si>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</si>
  <si>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</si>
  <si>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</si>
  <si>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</si>
  <si>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</si>
  <si>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</si>
  <si>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</si>
  <si>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</si>
  <si>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</si>
  <si>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</si>
  <si>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</si>
  <si>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</si>
  <si>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</si>
  <si>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</si>
  <si>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</si>
  <si>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</si>
  <si>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</si>
  <si>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</si>
  <si>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</si>
  <si>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</si>
  <si>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</si>
  <si>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</si>
  <si>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</si>
  <si>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</si>
  <si>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</si>
  <si>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</si>
  <si>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</si>
  <si>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</si>
  <si>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</si>
  <si>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</si>
  <si>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</si>
  <si>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</si>
  <si>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</si>
  <si>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</si>
  <si>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</si>
  <si>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</si>
  <si>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</si>
  <si>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</si>
  <si>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</si>
  <si>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</si>
  <si>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</si>
  <si>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</si>
  <si>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</si>
  <si>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</si>
  <si>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</si>
  <si>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</si>
  <si>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</si>
  <si>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</si>
  <si>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</si>
  <si>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</si>
  <si>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</si>
  <si>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</si>
  <si>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</si>
  <si>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</si>
  <si>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</si>
  <si>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</si>
  <si>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</si>
  <si>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</si>
  <si>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</si>
  <si>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</si>
  <si>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</si>
  <si>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</si>
  <si>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</si>
  <si>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</si>
  <si>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</si>
  <si>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</si>
  <si>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</si>
  <si>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</si>
  <si>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</si>
  <si>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</si>
  <si>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</si>
  <si>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</si>
  <si>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</si>
  <si>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</si>
  <si>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</si>
  <si>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</si>
  <si>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</si>
  <si>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</si>
  <si>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</si>
  <si>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</si>
  <si>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</si>
  <si>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</si>
  <si>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</si>
  <si>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</si>
  <si>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</si>
  <si>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</si>
  <si>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</si>
  <si>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</si>
  <si>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</si>
  <si>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</si>
  <si>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</si>
  <si>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</si>
  <si>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</si>
  <si>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</si>
  <si>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</si>
  <si>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</si>
  <si>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</si>
  <si>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</si>
  <si>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</si>
  <si>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</si>
  <si>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</si>
  <si>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</si>
  <si>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</si>
  <si>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</si>
  <si>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</si>
  <si>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</si>
  <si>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</si>
  <si>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</si>
  <si>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</si>
  <si>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</si>
  <si>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</si>
  <si>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</si>
  <si>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</si>
  <si>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</si>
  <si>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</si>
  <si>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</si>
  <si>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</si>
  <si>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</si>
  <si>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</si>
  <si>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</si>
  <si>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</si>
  <si>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</si>
  <si>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</si>
  <si>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</si>
  <si>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</si>
  <si>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</si>
  <si>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</si>
  <si>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</si>
  <si>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</si>
  <si>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</si>
  <si>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</si>
  <si>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</si>
  <si>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</si>
  <si>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</si>
  <si>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</si>
  <si>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</si>
  <si>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</si>
  <si>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</si>
  <si>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</si>
  <si>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</si>
  <si>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</si>
  <si>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</si>
  <si>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</si>
  <si>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</si>
  <si>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</si>
  <si>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</si>
  <si>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</si>
  <si>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</si>
  <si>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</si>
  <si>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</si>
  <si>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</si>
  <si>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</si>
  <si>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</si>
  <si>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</si>
  <si>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</si>
  <si>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</si>
  <si>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</si>
  <si>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</si>
  <si>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</si>
  <si>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</si>
  <si>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</si>
  <si>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</si>
  <si>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</si>
  <si>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</si>
  <si>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</si>
  <si>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</si>
  <si>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</si>
  <si>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</si>
  <si>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</si>
  <si>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</si>
  <si>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</si>
  <si>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</si>
  <si>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</si>
  <si>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</si>
  <si>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</si>
  <si>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</si>
  <si>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</si>
  <si>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</si>
  <si>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</si>
  <si>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</si>
  <si>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</si>
  <si>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</si>
  <si>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</si>
  <si>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</si>
  <si>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</si>
  <si>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</si>
  <si>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</si>
  <si>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</si>
  <si>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</si>
  <si>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</si>
  <si>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</si>
  <si>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</si>
  <si>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</si>
  <si>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</si>
  <si>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</si>
  <si>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</si>
  <si>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</si>
  <si>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</si>
  <si>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</si>
  <si>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</si>
  <si>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</si>
  <si>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</si>
  <si>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</si>
  <si>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</si>
  <si>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</si>
  <si>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</si>
  <si>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</si>
  <si>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</si>
  <si>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</si>
  <si>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</si>
  <si>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</si>
  <si>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</si>
  <si>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</si>
  <si>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</si>
  <si>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</si>
  <si>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</si>
  <si>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</si>
  <si>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</si>
  <si>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</si>
  <si>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</si>
  <si>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</si>
  <si>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</si>
  <si>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</si>
  <si>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</si>
  <si>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</si>
  <si>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</si>
  <si>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</si>
  <si>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</si>
  <si>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</si>
  <si>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</si>
  <si>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</si>
  <si>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</si>
  <si>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</si>
  <si>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</si>
  <si>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</si>
  <si>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</si>
  <si>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</si>
  <si>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</si>
  <si>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</si>
  <si>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</si>
  <si>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</si>
  <si>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</si>
  <si>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</si>
  <si>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</si>
  <si>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</si>
  <si>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</si>
  <si>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</si>
  <si>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</si>
  <si>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</si>
  <si>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</si>
  <si>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</si>
  <si>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</si>
  <si>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</si>
  <si>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</si>
  <si>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</si>
  <si>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</si>
  <si>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</si>
  <si>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</si>
  <si>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</si>
  <si>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</si>
  <si>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</si>
  <si>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</si>
  <si>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</si>
  <si>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</si>
  <si>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</si>
  <si>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</si>
  <si>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</si>
  <si>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</si>
  <si>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</si>
  <si>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</si>
  <si>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</si>
  <si>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</si>
  <si>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</si>
  <si>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</si>
  <si>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</si>
  <si>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</si>
  <si>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</si>
  <si>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</si>
  <si>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</si>
  <si>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</si>
  <si>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</si>
  <si>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</si>
  <si>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</si>
  <si>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</si>
  <si>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</si>
  <si>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</si>
  <si>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</si>
  <si>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</si>
  <si>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</si>
  <si>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</si>
  <si>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</si>
  <si>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</si>
  <si>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</si>
  <si>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</si>
  <si>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</si>
  <si>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</si>
  <si>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</si>
  <si>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</si>
  <si>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</si>
  <si>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</si>
  <si>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</si>
  <si>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</si>
  <si>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</si>
  <si>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</si>
  <si>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</si>
  <si>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</si>
  <si>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</si>
  <si>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</si>
  <si>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</si>
  <si>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</si>
  <si>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</si>
  <si>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</si>
  <si>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</si>
  <si>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</si>
  <si>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</si>
  <si>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</si>
  <si>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</si>
  <si>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</si>
  <si>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</si>
  <si>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</si>
  <si>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</si>
  <si>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</si>
  <si>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</si>
  <si>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</si>
  <si>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</si>
  <si>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</si>
  <si>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</si>
  <si>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</si>
  <si>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</si>
  <si>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</si>
  <si>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</si>
  <si>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</si>
  <si>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</si>
  <si>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</si>
  <si>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</si>
  <si>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</si>
  <si>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</si>
  <si>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</si>
  <si>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</si>
  <si>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</si>
  <si>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</si>
  <si>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</si>
  <si>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</si>
  <si>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</si>
  <si>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</si>
  <si>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</si>
  <si>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</si>
  <si>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</si>
  <si>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</si>
  <si>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</si>
  <si>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</si>
  <si>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</si>
  <si>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</si>
  <si>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</si>
  <si>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</si>
  <si>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</si>
  <si>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</si>
  <si>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</si>
  <si>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</si>
  <si>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</si>
  <si>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</si>
  <si>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</si>
  <si>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</si>
  <si>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</si>
  <si>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</si>
  <si>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</si>
  <si>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</si>
  <si>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</si>
  <si>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</si>
  <si>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</si>
  <si>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</si>
  <si>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</si>
  <si>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</si>
  <si>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</si>
  <si>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</si>
  <si>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</si>
  <si>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</si>
  <si>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</si>
  <si>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</si>
  <si>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</si>
  <si>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</si>
  <si>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</si>
  <si>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</si>
  <si>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</si>
  <si>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</si>
  <si>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</si>
  <si>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</si>
  <si>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</si>
  <si>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</si>
  <si>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</si>
  <si>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</si>
  <si>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</si>
  <si>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</si>
  <si>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</si>
  <si>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</si>
  <si>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</si>
  <si>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</si>
  <si>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</si>
  <si>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</si>
  <si>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</si>
  <si>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</si>
  <si>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</si>
  <si>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</si>
  <si>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</si>
  <si>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</si>
  <si>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</si>
  <si>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</si>
  <si>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</si>
  <si>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</si>
  <si>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</si>
  <si>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</si>
  <si>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</si>
  <si>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</si>
  <si>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</si>
  <si>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</si>
  <si>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</si>
  <si>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</si>
  <si>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</si>
  <si>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</si>
  <si>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</si>
  <si>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</si>
  <si>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</si>
  <si>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</si>
  <si>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</si>
  <si>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</si>
  <si>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</si>
  <si>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</si>
  <si>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</si>
  <si>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</si>
  <si>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</si>
  <si>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</si>
  <si>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</si>
  <si>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</si>
  <si>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</si>
  <si>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</si>
  <si>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</si>
  <si>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</si>
  <si>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</si>
  <si>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</si>
  <si>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</si>
  <si>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</si>
  <si>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</si>
  <si>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</si>
  <si>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</si>
  <si>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</si>
  <si>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</si>
  <si>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</si>
  <si>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</si>
  <si>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</si>
  <si>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</si>
  <si>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</si>
  <si>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</si>
  <si>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</si>
  <si>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</si>
  <si>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</si>
  <si>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</si>
  <si>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</si>
  <si>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</si>
  <si>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</si>
  <si>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</si>
  <si>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</si>
  <si>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</si>
  <si>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</si>
  <si>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</si>
  <si>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</si>
  <si>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</si>
  <si>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</si>
  <si>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</si>
  <si>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</si>
  <si>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</si>
  <si>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</si>
  <si>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</si>
  <si>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</si>
  <si>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</si>
  <si>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</si>
  <si>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</si>
  <si>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</si>
  <si>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</si>
  <si>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</si>
  <si>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</si>
  <si>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</si>
  <si>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</si>
  <si>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</si>
  <si>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</si>
  <si>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</si>
  <si>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</si>
  <si>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</si>
  <si>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</si>
  <si>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</si>
  <si>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</si>
  <si>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</si>
  <si>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</si>
  <si>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</si>
  <si>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</si>
  <si>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</si>
  <si>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</si>
  <si>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</si>
  <si>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</si>
  <si>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</si>
  <si>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</si>
  <si>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</si>
  <si>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</si>
  <si>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</si>
  <si>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</si>
  <si>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</si>
  <si>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</si>
  <si>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</si>
  <si>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</si>
  <si>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</si>
  <si>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</si>
  <si>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</si>
  <si>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</si>
  <si>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</si>
  <si>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</si>
  <si>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</si>
  <si>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</si>
  <si>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</si>
  <si>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</si>
  <si>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</si>
  <si>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</si>
  <si>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</si>
  <si>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</si>
  <si>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</si>
  <si>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</si>
  <si>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</si>
  <si>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</si>
  <si>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</si>
  <si>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</si>
  <si>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</si>
  <si>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</si>
  <si>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</si>
  <si>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</si>
  <si>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</si>
  <si>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</si>
  <si>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</si>
  <si>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</si>
  <si>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</si>
  <si>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</si>
  <si>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</si>
  <si>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</si>
  <si>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</si>
  <si>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</si>
  <si>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</si>
  <si>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</si>
  <si>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</si>
  <si>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</si>
  <si>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</si>
  <si>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</si>
  <si>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</si>
  <si>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</si>
  <si>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</si>
  <si>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</si>
  <si>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</si>
  <si>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</si>
  <si>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</si>
  <si>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</si>
  <si>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</si>
  <si>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</si>
  <si>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</si>
  <si>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</si>
  <si>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</si>
  <si>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</si>
  <si>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</si>
  <si>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</si>
  <si>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</si>
  <si>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</si>
  <si>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</si>
  <si>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</si>
  <si>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</si>
  <si>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</si>
  <si>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</si>
  <si>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</si>
  <si>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</si>
  <si>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</si>
  <si>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</si>
  <si>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</si>
  <si>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</si>
  <si>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</si>
  <si>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</si>
  <si>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</si>
  <si>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</si>
  <si>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</si>
  <si>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</si>
  <si>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</si>
  <si>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</si>
  <si>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</si>
  <si>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</si>
  <si>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</si>
  <si>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</si>
  <si>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</si>
  <si>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</si>
  <si>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</si>
  <si>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</si>
  <si>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</si>
  <si>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</si>
  <si>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</si>
  <si>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</si>
  <si>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</si>
  <si>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</si>
  <si>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</si>
  <si>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</si>
  <si>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</si>
  <si>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</si>
  <si>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</si>
  <si>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</si>
  <si>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</si>
  <si>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</si>
  <si>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</si>
  <si>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</si>
  <si>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</si>
  <si>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</si>
  <si>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</si>
  <si>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</si>
  <si>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</si>
  <si>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</si>
  <si>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</si>
  <si>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</si>
  <si>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</si>
  <si>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</si>
  <si>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</si>
  <si>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</si>
  <si>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</si>
  <si>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</si>
  <si>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</si>
  <si>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</si>
  <si>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</si>
  <si>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</si>
  <si>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</si>
  <si>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</si>
  <si>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</si>
  <si>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</si>
  <si>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</si>
  <si>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</si>
  <si>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</si>
  <si>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</si>
  <si>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</si>
  <si>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</si>
  <si>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</si>
  <si>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</si>
  <si>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</si>
  <si>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</si>
  <si>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</si>
  <si>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</si>
  <si>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</si>
  <si>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</si>
  <si>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</si>
  <si>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</si>
  <si>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</si>
  <si>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</si>
  <si>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</si>
  <si>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</si>
  <si>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</si>
  <si>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</si>
  <si>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</si>
  <si>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</si>
  <si>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</si>
  <si>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</si>
  <si>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</si>
  <si>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</si>
  <si>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</si>
  <si>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</si>
  <si>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</si>
  <si>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</si>
  <si>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</si>
  <si>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</si>
  <si>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</si>
  <si>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</si>
  <si>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</si>
  <si>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</si>
  <si>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</si>
  <si>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</si>
  <si>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</si>
  <si>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</si>
  <si>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</si>
  <si>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</si>
  <si>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</si>
  <si>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</si>
  <si>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</si>
  <si>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</si>
  <si>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</si>
  <si>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</si>
  <si>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</si>
  <si>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</si>
  <si>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</si>
  <si>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</si>
  <si>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</si>
  <si>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</si>
  <si>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</si>
  <si>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</si>
  <si>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</si>
  <si>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</si>
  <si>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</si>
  <si>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</si>
  <si>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</si>
  <si>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</si>
  <si>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</si>
  <si>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</si>
  <si>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</si>
  <si>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</si>
  <si>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</si>
  <si>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</si>
  <si>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</si>
  <si>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</si>
  <si>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</si>
  <si>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</si>
  <si>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</si>
  <si>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</si>
  <si>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</si>
  <si>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</si>
  <si>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</si>
  <si>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</si>
  <si>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</si>
  <si>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</si>
  <si>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</si>
  <si>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</si>
  <si>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</si>
  <si>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</si>
  <si>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</si>
  <si>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</si>
  <si>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</si>
  <si>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</si>
  <si>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</si>
  <si>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</si>
  <si>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</si>
  <si>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</si>
  <si>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</si>
  <si>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</si>
  <si>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</si>
  <si>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</si>
  <si>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</si>
  <si>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</si>
  <si>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</si>
  <si>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</si>
  <si>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</si>
  <si>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</si>
  <si>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</si>
  <si>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</si>
  <si>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</si>
  <si>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</si>
  <si>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</si>
  <si>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</si>
  <si>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</si>
  <si>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</si>
  <si>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</si>
  <si>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</si>
  <si>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</si>
  <si>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</si>
  <si>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</si>
  <si>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</si>
  <si>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</si>
  <si>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</si>
  <si>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</si>
  <si>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</si>
  <si>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</si>
  <si>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</si>
  <si>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</si>
  <si>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</si>
  <si>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</si>
  <si>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</si>
  <si>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</si>
  <si>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</si>
  <si>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</si>
  <si>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</si>
  <si>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</si>
  <si>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</si>
  <si>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</si>
  <si>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</si>
  <si>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</si>
  <si>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</si>
  <si>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</si>
  <si>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</si>
  <si>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</si>
  <si>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</si>
  <si>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</si>
  <si>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</si>
  <si>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</si>
  <si>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</si>
  <si>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</si>
  <si>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</si>
  <si>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</si>
  <si>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</si>
  <si>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</si>
  <si>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</si>
  <si>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</si>
  <si>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</si>
  <si>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</si>
  <si>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</si>
  <si>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</si>
  <si>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</si>
  <si>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</si>
  <si>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</si>
  <si>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</si>
  <si>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</si>
  <si>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</si>
  <si>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</si>
  <si>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</si>
  <si>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</si>
  <si>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</si>
  <si>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</si>
  <si>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</si>
  <si>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</si>
  <si>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</si>
  <si>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</si>
  <si>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</si>
  <si>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</si>
  <si>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</si>
  <si>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</si>
  <si>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</si>
  <si>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</si>
  <si>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</si>
  <si>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</si>
  <si>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</si>
  <si>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</si>
  <si>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</si>
  <si>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</si>
  <si>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</si>
  <si>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</si>
  <si>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</si>
  <si>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</si>
  <si>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</si>
  <si>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</si>
  <si>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</si>
  <si>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</si>
  <si>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</si>
  <si>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</si>
  <si>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</si>
  <si>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</si>
  <si>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</si>
  <si>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</si>
  <si>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</si>
  <si>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</si>
  <si>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</si>
  <si>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</si>
  <si>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</si>
  <si>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</si>
  <si>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</si>
  <si>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</si>
  <si>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</si>
  <si>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</si>
  <si>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</si>
  <si>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</si>
  <si>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</si>
  <si>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</si>
  <si>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</si>
  <si>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</si>
  <si>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</si>
  <si>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</si>
  <si>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</si>
  <si>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</si>
  <si>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</si>
  <si>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</si>
  <si>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</si>
  <si>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</si>
  <si>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</si>
  <si>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</si>
  <si>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</si>
  <si>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</si>
  <si>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</si>
  <si>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</si>
  <si>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</si>
  <si>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</si>
  <si>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</si>
  <si>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</si>
  <si>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</si>
  <si>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</si>
  <si>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</si>
  <si>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</si>
  <si>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</si>
  <si>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</si>
  <si>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</si>
  <si>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</si>
  <si>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</si>
  <si>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</si>
  <si>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</si>
  <si>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</si>
  <si>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</si>
  <si>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</si>
  <si>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</si>
  <si>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</si>
  <si>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</si>
  <si>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</si>
  <si>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</si>
  <si>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</si>
  <si>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</si>
  <si>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</si>
  <si>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</si>
  <si>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</si>
  <si>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</si>
  <si>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</si>
  <si>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</si>
  <si>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</si>
  <si>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</si>
  <si>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</si>
  <si>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</si>
  <si>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</si>
  <si>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</si>
  <si>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</si>
  <si>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</si>
  <si>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</si>
  <si>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</si>
  <si>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</si>
  <si>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</si>
  <si>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</si>
  <si>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</si>
  <si>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</si>
  <si>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</si>
  <si>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</si>
  <si>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</si>
  <si>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</si>
  <si>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</si>
  <si>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</si>
  <si>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</si>
  <si>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</si>
  <si>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</si>
  <si>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</si>
  <si>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</si>
  <si>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</si>
  <si>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</si>
  <si>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</si>
  <si>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</si>
  <si>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</si>
  <si>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</si>
  <si>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</si>
  <si>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</si>
  <si>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</si>
  <si>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</si>
  <si>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</si>
  <si>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</si>
  <si>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</si>
  <si>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</si>
  <si>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</si>
  <si>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</si>
  <si>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</si>
  <si>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</si>
  <si>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</si>
  <si>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</si>
  <si>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</si>
  <si>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</si>
  <si>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</si>
  <si>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</si>
  <si>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</si>
  <si>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</si>
  <si>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</si>
  <si>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</si>
  <si>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</si>
  <si>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</si>
  <si>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</si>
  <si>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</si>
  <si>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</si>
  <si>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</si>
  <si>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</si>
  <si>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</si>
  <si>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</si>
  <si>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</si>
  <si>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</si>
  <si>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</si>
  <si>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</si>
  <si>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</si>
  <si>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</si>
  <si>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</si>
  <si>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</si>
  <si>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</si>
  <si>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</si>
  <si>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</si>
  <si>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</si>
  <si>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</si>
  <si>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</si>
  <si>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</si>
  <si>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</si>
  <si>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</si>
  <si>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</si>
  <si>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</si>
  <si>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</si>
  <si>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</si>
  <si>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</si>
  <si>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</si>
  <si>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</si>
  <si>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</si>
  <si>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</si>
  <si>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</si>
  <si>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</si>
  <si>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</si>
  <si>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</si>
  <si>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</si>
  <si>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</si>
  <si>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</si>
  <si>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</si>
  <si>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</si>
  <si>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</si>
  <si>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</si>
  <si>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</si>
  <si>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</si>
  <si>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</si>
  <si>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</si>
  <si>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</si>
  <si>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</si>
  <si>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</si>
  <si>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</si>
  <si>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</si>
  <si>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</si>
  <si>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</si>
  <si>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</si>
  <si>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</si>
  <si>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</si>
  <si>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</si>
  <si>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</si>
  <si>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</si>
  <si>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</si>
  <si>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</si>
  <si>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</si>
  <si>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</si>
  <si>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</si>
  <si>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</si>
  <si>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</si>
  <si>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</si>
  <si>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</si>
  <si>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</si>
  <si>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</si>
  <si>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</si>
  <si>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</si>
  <si>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</si>
  <si>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</si>
  <si>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</si>
  <si>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</si>
  <si>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</si>
  <si>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</si>
  <si>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</si>
  <si>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</si>
  <si>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</si>
  <si>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</si>
  <si>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</si>
  <si>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</si>
  <si>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</si>
  <si>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</si>
  <si>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</si>
  <si>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</si>
  <si>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</si>
  <si>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</si>
  <si>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</si>
  <si>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</si>
  <si>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</si>
  <si>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</si>
  <si>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</si>
  <si>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</si>
  <si>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</si>
  <si>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</si>
  <si>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</si>
  <si>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</si>
  <si>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</si>
  <si>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</si>
  <si>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</si>
  <si>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</si>
  <si>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</si>
  <si>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</si>
  <si>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</si>
  <si>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</si>
  <si>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</si>
  <si>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</si>
  <si>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</si>
  <si>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</si>
  <si>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</si>
  <si>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</si>
  <si>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</si>
  <si>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</si>
  <si>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</si>
  <si>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</si>
  <si>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</si>
  <si>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</si>
  <si>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</si>
  <si>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</si>
  <si>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</si>
  <si>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</si>
  <si>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</si>
  <si>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</si>
  <si>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</si>
  <si>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</si>
  <si>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</si>
  <si>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</si>
  <si>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</si>
  <si>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</si>
  <si>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</si>
  <si>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</si>
  <si>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</si>
  <si>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</si>
  <si>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</si>
  <si>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</si>
  <si>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</si>
  <si>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</si>
  <si>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</si>
  <si>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</si>
  <si>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</si>
  <si>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</si>
  <si>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</si>
  <si>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</si>
  <si>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</si>
  <si>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</si>
  <si>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</si>
  <si>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</si>
  <si>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</si>
  <si>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</si>
  <si>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</si>
  <si>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</si>
  <si>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</si>
  <si>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</si>
  <si>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</si>
  <si>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</si>
  <si>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</si>
  <si>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</si>
  <si>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</si>
  <si>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</si>
  <si>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</si>
  <si>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</si>
  <si>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</si>
  <si>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</si>
  <si>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</si>
  <si>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</si>
  <si>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</si>
  <si>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</si>
  <si>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</si>
  <si>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</si>
  <si>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</si>
  <si>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</si>
  <si>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</si>
  <si>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</si>
  <si>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</si>
  <si>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</si>
  <si>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</si>
  <si>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</si>
  <si>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</si>
  <si>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</si>
  <si>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</si>
  <si>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</si>
  <si>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</si>
  <si>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</si>
  <si>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</si>
  <si>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</si>
  <si>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</si>
  <si>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</si>
  <si>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</si>
  <si>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</si>
  <si>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</si>
  <si>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</si>
  <si>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</si>
  <si>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</si>
  <si>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</si>
  <si>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</si>
  <si>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</si>
  <si>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</si>
  <si>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</si>
  <si>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</si>
  <si>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</si>
  <si>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</si>
  <si>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</si>
  <si>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</si>
  <si>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</si>
  <si>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</si>
  <si>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</si>
  <si>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</si>
  <si>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</si>
  <si>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</si>
  <si>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</si>
  <si>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</si>
  <si>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</si>
  <si>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</si>
  <si>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</si>
  <si>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</si>
  <si>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</si>
  <si>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</si>
  <si>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</si>
  <si>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</si>
  <si>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</si>
  <si>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</si>
  <si>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</si>
  <si>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</si>
  <si>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</si>
  <si>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</si>
  <si>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</si>
  <si>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</si>
  <si>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</si>
  <si>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</si>
  <si>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</si>
  <si>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</si>
  <si>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</si>
  <si>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</si>
  <si>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</si>
  <si>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</si>
  <si>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</si>
  <si>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</si>
  <si>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</si>
  <si>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</si>
  <si>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</si>
  <si>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</si>
  <si>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</si>
  <si>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</si>
  <si>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</si>
  <si>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</si>
  <si>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</si>
  <si>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</si>
  <si>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</si>
  <si>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</si>
  <si>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</si>
  <si>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</si>
  <si>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</si>
  <si>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</si>
  <si>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</si>
  <si>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</si>
  <si>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</si>
  <si>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</si>
  <si>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</si>
  <si>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</si>
  <si>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</si>
  <si>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</si>
  <si>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</si>
  <si>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</si>
  <si>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</si>
  <si>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</si>
  <si>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</si>
  <si>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</si>
  <si>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</si>
  <si>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</si>
  <si>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</si>
  <si>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</si>
  <si>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</si>
  <si>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</si>
  <si>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</si>
  <si>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</si>
  <si>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</si>
  <si>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</si>
  <si>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</si>
  <si>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</si>
  <si>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</si>
  <si>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</si>
  <si>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</si>
  <si>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</si>
  <si>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</si>
  <si>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</si>
  <si>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</si>
  <si>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</si>
  <si>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</si>
  <si>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</si>
  <si>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</si>
  <si>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</si>
  <si>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</si>
  <si>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</si>
  <si>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</si>
  <si>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</si>
  <si>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</si>
  <si>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</si>
  <si>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</si>
  <si>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</si>
  <si>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</si>
  <si>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</si>
  <si>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</si>
  <si>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</si>
  <si>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</si>
  <si>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</si>
  <si>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</si>
  <si>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</si>
  <si>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</si>
  <si>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</si>
  <si>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</si>
  <si>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</si>
  <si>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</si>
  <si>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</si>
  <si>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</si>
  <si>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</si>
  <si>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</si>
  <si>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</si>
  <si>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</si>
  <si>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</si>
  <si>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</si>
  <si>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</si>
  <si>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</si>
  <si>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</si>
  <si>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</si>
  <si>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</si>
  <si>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</si>
  <si>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</si>
  <si>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</si>
  <si>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</si>
  <si>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</si>
  <si>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</si>
  <si>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</si>
  <si>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</si>
  <si>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</si>
  <si>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</si>
  <si>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</si>
  <si>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</si>
  <si>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</si>
  <si>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</si>
  <si>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</si>
  <si>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</si>
  <si>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</si>
  <si>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</si>
  <si>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</si>
  <si>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</si>
  <si>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</si>
  <si>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</si>
  <si>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</si>
  <si>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</si>
  <si>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</si>
  <si>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</si>
  <si>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</si>
  <si>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</si>
  <si>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</si>
  <si>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</si>
  <si>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</si>
  <si>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</si>
  <si>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</si>
  <si>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</si>
  <si>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</si>
  <si>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</si>
  <si>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</si>
  <si>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</si>
  <si>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</si>
  <si>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</si>
  <si>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</si>
  <si>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</si>
  <si>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</si>
  <si>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</si>
  <si>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</si>
  <si>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</si>
  <si>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</si>
  <si>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</si>
  <si>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</si>
  <si>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</si>
  <si>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</si>
  <si>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</si>
  <si>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</si>
  <si>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</si>
  <si>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</si>
  <si>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</si>
  <si>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</si>
  <si>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</si>
  <si>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</si>
  <si>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</si>
  <si>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</si>
  <si>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</si>
  <si>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</si>
  <si>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</si>
  <si>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</si>
  <si>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</si>
  <si>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</si>
  <si>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</si>
  <si>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</si>
  <si>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</si>
  <si>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</si>
  <si>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</si>
  <si>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</si>
  <si>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</si>
  <si>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</si>
  <si>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</si>
  <si>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</si>
  <si>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</si>
  <si>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</si>
  <si>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</si>
  <si>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</si>
  <si>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</si>
  <si>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</si>
  <si>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</si>
  <si>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</si>
  <si>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</si>
  <si>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</si>
  <si>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</si>
  <si>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</si>
  <si>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</si>
  <si>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</si>
  <si>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</si>
  <si>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</si>
  <si>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</si>
  <si>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</si>
  <si>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</si>
  <si>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</si>
  <si>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</si>
  <si>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</si>
  <si>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</si>
  <si>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</si>
  <si>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</si>
  <si>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</si>
  <si>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</si>
  <si>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</si>
  <si>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</si>
  <si>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</si>
  <si>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</si>
  <si>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</si>
  <si>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</si>
  <si>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</si>
  <si>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</si>
  <si>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</si>
  <si>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</si>
  <si>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</si>
  <si>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</si>
  <si>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</si>
  <si>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</si>
  <si>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</si>
  <si>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</si>
  <si>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</si>
  <si>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</si>
  <si>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</si>
  <si>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</si>
  <si>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</si>
  <si>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</si>
  <si>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</si>
  <si>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</si>
  <si>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</si>
  <si>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</si>
  <si>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</si>
  <si>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</si>
  <si>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</si>
  <si>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</si>
  <si>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</si>
  <si>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</si>
  <si>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</si>
  <si>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</si>
  <si>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</si>
  <si>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</si>
  <si>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</si>
  <si>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</si>
  <si>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</si>
  <si>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</si>
  <si>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</si>
  <si>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</si>
  <si>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</si>
  <si>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</si>
  <si>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</si>
  <si>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</si>
  <si>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</si>
  <si>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</si>
  <si>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</si>
  <si>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</si>
  <si>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</si>
  <si>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</si>
  <si>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</si>
  <si>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</si>
  <si>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</si>
  <si>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</si>
  <si>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</si>
  <si>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</si>
  <si>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</si>
  <si>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</si>
  <si>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</si>
  <si>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</si>
  <si>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</si>
  <si>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</si>
  <si>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</si>
  <si>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</si>
  <si>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</si>
  <si>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</si>
  <si>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</si>
  <si>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</si>
  <si>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</si>
  <si>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</si>
  <si>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</si>
  <si>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</si>
  <si>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</si>
  <si>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</si>
  <si>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</si>
  <si>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</si>
  <si>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</si>
  <si>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</si>
  <si>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</si>
  <si>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</si>
  <si>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</si>
  <si>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</si>
  <si>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</si>
  <si>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</si>
  <si>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</si>
  <si>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</si>
  <si>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</si>
  <si>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</si>
  <si>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</si>
  <si>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</si>
  <si>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</si>
  <si>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</si>
  <si>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</si>
  <si>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</si>
  <si>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</si>
  <si>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</si>
  <si>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</si>
  <si>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</si>
  <si>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</si>
  <si>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</si>
  <si>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</si>
  <si>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</si>
  <si>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</si>
  <si>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</si>
  <si>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</si>
  <si>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</si>
  <si>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</si>
  <si>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</si>
  <si>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</si>
  <si>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</si>
  <si>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</si>
  <si>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</si>
  <si>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</si>
  <si>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</si>
  <si>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</si>
  <si>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</si>
  <si>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</si>
  <si>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</si>
  <si>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</si>
  <si>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</si>
  <si>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</si>
  <si>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</si>
  <si>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</si>
  <si>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</si>
  <si>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</si>
  <si>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</si>
  <si>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</si>
  <si>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</si>
  <si>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</si>
  <si>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</si>
  <si>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</si>
  <si>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</si>
  <si>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</si>
  <si>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</si>
  <si>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</si>
  <si>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</si>
  <si>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</si>
  <si>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</si>
  <si>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</si>
  <si>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</si>
  <si>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</si>
  <si>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</si>
  <si>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</si>
  <si>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</si>
  <si>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</si>
  <si>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</si>
  <si>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</si>
  <si>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</si>
  <si>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</si>
  <si>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</si>
  <si>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</si>
  <si>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</si>
  <si>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</si>
  <si>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</si>
  <si>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</si>
  <si>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</si>
  <si>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</si>
  <si>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</si>
  <si>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</si>
  <si>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</si>
  <si>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</si>
  <si>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</si>
  <si>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</si>
  <si>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</si>
  <si>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</si>
  <si>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</si>
  <si>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</si>
  <si>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</si>
  <si>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</si>
  <si>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</si>
  <si>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</si>
  <si>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</si>
  <si>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</si>
  <si>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</si>
  <si>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</si>
  <si>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</si>
  <si>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</si>
  <si>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</si>
  <si>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</si>
  <si>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</si>
  <si>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</si>
  <si>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</si>
  <si>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</si>
  <si>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</si>
  <si>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</si>
  <si>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</si>
  <si>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</si>
  <si>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</si>
  <si>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</si>
  <si>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</si>
  <si>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</si>
  <si>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</si>
  <si>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</si>
  <si>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</si>
  <si>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</si>
  <si>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</si>
  <si>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</si>
  <si>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</si>
  <si>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</si>
  <si>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</si>
  <si>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</si>
  <si>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</si>
  <si>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</si>
  <si>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</si>
  <si>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</si>
  <si>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</si>
  <si>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</si>
  <si>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</si>
  <si>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</si>
  <si>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</si>
  <si>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</si>
  <si>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</si>
  <si>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</si>
  <si>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</si>
  <si>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</si>
  <si>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</si>
  <si>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</si>
  <si>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</si>
  <si>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</si>
  <si>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</si>
  <si>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</si>
  <si>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</si>
  <si>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</si>
  <si>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</si>
  <si>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</si>
  <si>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</si>
  <si>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</si>
  <si>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</si>
  <si>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</si>
  <si>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</si>
  <si>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</si>
  <si>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</si>
  <si>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</si>
  <si>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</si>
  <si>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</si>
  <si>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</si>
  <si>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</si>
  <si>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</si>
  <si>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</si>
  <si>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</si>
  <si>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</si>
  <si>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</si>
  <si>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</si>
  <si>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</si>
  <si>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</si>
  <si>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</si>
  <si>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</si>
  <si>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</si>
  <si>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</si>
  <si>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</si>
  <si>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</si>
  <si>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</si>
  <si>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</si>
  <si>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</si>
  <si>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</si>
  <si>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</si>
  <si>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</si>
  <si>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</si>
  <si>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</si>
  <si>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</si>
  <si>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</si>
  <si>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</si>
  <si>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</si>
  <si>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</si>
  <si>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</si>
  <si>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</si>
  <si>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</si>
  <si>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</si>
  <si>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</si>
  <si>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</si>
  <si>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</si>
  <si>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</si>
  <si>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</si>
  <si>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</si>
  <si>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</si>
  <si>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</si>
  <si>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</si>
  <si>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</si>
  <si>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</si>
  <si>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</si>
  <si>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</si>
  <si>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</si>
  <si>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</si>
  <si>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</si>
  <si>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</si>
  <si>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</si>
  <si>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</si>
  <si>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</si>
  <si>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</si>
  <si>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</si>
  <si>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</si>
  <si>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</si>
  <si>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</si>
  <si>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</si>
  <si>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</si>
  <si>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</si>
  <si>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</si>
  <si>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</si>
  <si>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</si>
  <si>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</si>
  <si>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</si>
  <si>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</si>
  <si>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</si>
  <si>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</si>
  <si>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</si>
  <si>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</si>
  <si>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</si>
  <si>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</si>
  <si>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</si>
  <si>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</si>
  <si>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</si>
  <si>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</si>
  <si>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</si>
  <si>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</si>
  <si>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</si>
  <si>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</si>
  <si>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</si>
  <si>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</si>
  <si>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</si>
  <si>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</si>
  <si>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</si>
  <si>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</si>
  <si>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</si>
  <si>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</si>
  <si>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</si>
  <si>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</si>
  <si>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</si>
  <si>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</si>
  <si>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</si>
  <si>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</si>
  <si>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</si>
  <si>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</si>
  <si>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</si>
  <si>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</si>
  <si>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</si>
  <si>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</si>
  <si>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</si>
  <si>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</si>
  <si>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</si>
  <si>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</si>
  <si>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</si>
  <si>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</si>
  <si>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</si>
  <si>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</si>
  <si>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</si>
  <si>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</si>
  <si>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</si>
  <si>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</si>
  <si>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</si>
  <si>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</si>
  <si>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</si>
  <si>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</si>
  <si>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</si>
  <si>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</si>
  <si>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</si>
  <si>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</si>
  <si>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</si>
  <si>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</si>
  <si>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</si>
  <si>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</si>
  <si>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</si>
  <si>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</si>
  <si>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</si>
  <si>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</si>
  <si>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</si>
  <si>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</si>
  <si>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</si>
  <si>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</si>
  <si>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</si>
  <si>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</si>
  <si>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</si>
  <si>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</si>
  <si>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</si>
  <si>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</si>
  <si>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</si>
  <si>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</si>
  <si>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</si>
  <si>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</si>
  <si>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</si>
  <si>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</si>
  <si>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</si>
  <si>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</si>
  <si>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</si>
  <si>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</si>
  <si>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</si>
  <si>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</si>
  <si>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</si>
  <si>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</si>
  <si>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</si>
  <si>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</si>
  <si>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</si>
  <si>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</si>
  <si>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</si>
  <si>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</si>
  <si>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</si>
  <si>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</si>
  <si>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</si>
  <si>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</si>
  <si>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</si>
  <si>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</si>
  <si>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</si>
  <si>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</si>
  <si>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</si>
  <si>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</si>
  <si>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</si>
  <si>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</si>
  <si>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</si>
  <si>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</si>
  <si>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</si>
  <si>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</si>
  <si>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</si>
  <si>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</si>
  <si>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</si>
  <si>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</si>
  <si>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</si>
  <si>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</si>
  <si>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</si>
  <si>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</si>
  <si>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</si>
  <si>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</si>
  <si>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</si>
  <si>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</si>
  <si>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</si>
  <si>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</si>
  <si>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</si>
  <si>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</si>
  <si>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</si>
  <si>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</si>
  <si>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</si>
  <si>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</si>
  <si>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</si>
  <si>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</si>
  <si>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</si>
  <si>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</si>
  <si>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</si>
  <si>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</si>
  <si>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</si>
  <si>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</si>
  <si>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</si>
  <si>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</si>
  <si>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</si>
  <si>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</si>
  <si>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</si>
  <si>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</si>
  <si>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</si>
  <si>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</si>
  <si>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</si>
  <si>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</si>
  <si>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</si>
  <si>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</si>
  <si>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</si>
  <si>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</si>
  <si>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</si>
  <si>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</si>
  <si>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</si>
  <si>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</si>
  <si>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</si>
  <si>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</si>
  <si>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</si>
  <si>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</si>
  <si>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</si>
  <si>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</si>
  <si>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</si>
  <si>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</si>
  <si>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</si>
  <si>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</si>
  <si>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</si>
  <si>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</si>
  <si>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</si>
  <si>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</si>
  <si>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</si>
  <si>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</si>
  <si>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</si>
  <si>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</si>
  <si>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</si>
  <si>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</si>
  <si>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</si>
  <si>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</si>
  <si>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</si>
  <si>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</si>
  <si>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</si>
  <si>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</si>
  <si>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</si>
  <si>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</si>
  <si>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</si>
  <si>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</si>
  <si>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</si>
  <si>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</si>
  <si>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</si>
  <si>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</si>
  <si>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</si>
  <si>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</si>
  <si>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</si>
  <si>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</si>
  <si>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</si>
  <si>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</si>
  <si>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</si>
  <si>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</si>
  <si>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</si>
  <si>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</si>
  <si>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</si>
  <si>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</si>
  <si>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</si>
  <si>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</si>
  <si>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</si>
  <si>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</si>
  <si>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</si>
  <si>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</si>
  <si>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</si>
  <si>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</si>
  <si>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</si>
  <si>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</si>
  <si>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</si>
  <si>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</si>
  <si>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</si>
  <si>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</si>
  <si>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</si>
  <si>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</si>
  <si>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</si>
  <si>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</si>
  <si>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</si>
  <si>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</si>
  <si>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</si>
  <si>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</si>
  <si>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</si>
  <si>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</si>
  <si>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</si>
  <si>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</si>
  <si>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</si>
  <si>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</si>
  <si>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</si>
  <si>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</si>
  <si>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</si>
  <si>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</si>
  <si>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</si>
  <si>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</si>
  <si>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</si>
  <si>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</si>
  <si>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</si>
  <si>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</si>
  <si>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</si>
  <si>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</si>
  <si>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</si>
  <si>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</si>
  <si>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</si>
  <si>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</si>
  <si>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</si>
  <si>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</si>
  <si>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</si>
  <si>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</si>
  <si>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</si>
  <si>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</si>
  <si>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</si>
  <si>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</si>
  <si>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</si>
  <si>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</si>
  <si>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</si>
  <si>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</si>
  <si>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</si>
  <si>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</si>
  <si>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</si>
  <si>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</si>
  <si>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</si>
  <si>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</si>
  <si>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</si>
  <si>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</si>
  <si>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</si>
  <si>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</si>
  <si>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</si>
  <si>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</si>
  <si>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</si>
  <si>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</si>
  <si>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</si>
  <si>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</si>
  <si>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</si>
  <si>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</si>
  <si>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</si>
  <si>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</si>
  <si>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</si>
  <si>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</si>
  <si>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</si>
  <si>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</si>
  <si>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</si>
  <si>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</si>
  <si>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</si>
  <si>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</si>
  <si>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</si>
  <si>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</si>
  <si>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</si>
  <si>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</si>
  <si>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</si>
  <si>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</si>
  <si>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</si>
  <si>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</si>
  <si>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</si>
  <si>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</si>
  <si>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</si>
  <si>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</si>
  <si>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</si>
  <si>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</si>
  <si>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</si>
  <si>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</si>
  <si>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</si>
  <si>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</si>
  <si>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</si>
  <si>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</si>
  <si>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</si>
  <si>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</si>
  <si>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</si>
  <si>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</si>
  <si>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</si>
  <si>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</si>
  <si>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</si>
  <si>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</si>
  <si>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</si>
  <si>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</si>
  <si>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</si>
  <si>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</si>
  <si>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</si>
  <si>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</si>
  <si>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</si>
  <si>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</si>
  <si>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</si>
  <si>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</si>
  <si>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</si>
  <si>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</si>
  <si>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</si>
  <si>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</si>
  <si>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</si>
  <si>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</si>
  <si>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</si>
  <si>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</si>
  <si>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</si>
  <si>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</si>
  <si>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</si>
  <si>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</si>
  <si>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</si>
  <si>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</si>
  <si>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</si>
  <si>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</si>
  <si>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</si>
  <si>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</si>
  <si>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</si>
  <si>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</si>
  <si>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</si>
  <si>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</si>
  <si>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</si>
  <si>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</si>
  <si>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</si>
  <si>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</si>
  <si>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</si>
  <si>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</si>
  <si>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</si>
  <si>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</si>
  <si>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</si>
  <si>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</si>
  <si>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</si>
  <si>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</si>
  <si>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</si>
  <si>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</si>
  <si>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</si>
  <si>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</si>
  <si>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</si>
  <si>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</si>
  <si>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</si>
  <si>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</si>
  <si>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</si>
  <si>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</si>
  <si>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</si>
  <si>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</si>
  <si>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</si>
  <si>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</si>
  <si>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</si>
  <si>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</si>
  <si>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</si>
  <si>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</si>
  <si>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</si>
  <si>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</si>
  <si>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</si>
  <si>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</si>
  <si>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</si>
  <si>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</si>
  <si>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</si>
  <si>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</si>
  <si>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</si>
  <si>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</si>
  <si>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</si>
  <si>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</si>
  <si>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</si>
  <si>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</si>
  <si>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</si>
  <si>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</si>
  <si>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</si>
  <si>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</si>
  <si>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</si>
  <si>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</si>
  <si>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</si>
  <si>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</si>
  <si>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</si>
  <si>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</si>
  <si>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</si>
  <si>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</si>
  <si>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</si>
  <si>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</si>
  <si>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</si>
  <si>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</si>
  <si>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</si>
  <si>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</si>
  <si>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</si>
  <si>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</si>
  <si>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</si>
  <si>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</si>
  <si>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</si>
  <si>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</si>
  <si>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</si>
  <si>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</si>
  <si>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</si>
  <si>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</si>
  <si>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</si>
  <si>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</si>
  <si>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</si>
  <si>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</si>
  <si>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</si>
  <si>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</si>
  <si>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</si>
  <si>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</si>
  <si>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</si>
  <si>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</si>
  <si>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</si>
  <si>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</si>
  <si>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</si>
  <si>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</si>
  <si>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</si>
  <si>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</si>
  <si>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</si>
  <si>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</si>
  <si>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</si>
  <si>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</si>
  <si>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</si>
  <si>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</si>
  <si>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</si>
  <si>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</si>
  <si>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</si>
  <si>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</si>
  <si>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</si>
  <si>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</si>
  <si>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</si>
  <si>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</si>
  <si>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</si>
  <si>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</si>
  <si>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</si>
  <si>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</si>
  <si>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</si>
  <si>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</si>
  <si>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</si>
  <si>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</si>
  <si>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</si>
  <si>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</si>
  <si>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</si>
  <si>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</si>
  <si>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</si>
  <si>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</si>
  <si>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</si>
  <si>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</si>
  <si>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</si>
  <si>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</si>
  <si>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</si>
  <si>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</si>
  <si>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</si>
  <si>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</si>
  <si>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</si>
  <si>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</si>
  <si>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</si>
  <si>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</si>
  <si>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</si>
  <si>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</si>
  <si>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</si>
  <si>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</si>
  <si>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</si>
  <si>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</si>
  <si>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</si>
  <si>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</si>
  <si>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</si>
  <si>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</si>
  <si>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</si>
  <si>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</si>
  <si>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</si>
  <si>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</si>
  <si>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</si>
  <si>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</si>
  <si>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</si>
  <si>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</si>
  <si>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</si>
  <si>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</si>
  <si>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</si>
  <si>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</si>
  <si>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</si>
  <si>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</si>
  <si>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</si>
  <si>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</si>
  <si>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</si>
  <si>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</si>
  <si>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</si>
  <si>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</si>
  <si>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</si>
  <si>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</si>
  <si>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</si>
  <si>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</si>
  <si>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</si>
  <si>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</si>
  <si>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</si>
  <si>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</si>
  <si>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</si>
  <si>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</si>
  <si>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</si>
  <si>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</si>
  <si>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</si>
  <si>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</si>
  <si>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</si>
  <si>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</si>
  <si>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</si>
  <si>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</si>
  <si>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</si>
  <si>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</si>
  <si>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</si>
  <si>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</si>
  <si>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</si>
  <si>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</si>
  <si>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</si>
  <si>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</si>
  <si>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</si>
  <si>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</si>
  <si>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</si>
  <si>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</si>
  <si>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</si>
  <si>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</si>
  <si>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</si>
  <si>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</si>
  <si>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</si>
  <si>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</si>
  <si>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</si>
  <si>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</si>
  <si>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</si>
  <si>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</si>
  <si>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</si>
  <si>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</si>
  <si>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</si>
  <si>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</si>
  <si>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</si>
  <si>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</si>
  <si>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</si>
  <si>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</si>
  <si>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</si>
  <si>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</si>
  <si>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</si>
  <si>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</si>
  <si>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</si>
  <si>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</si>
  <si>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</si>
  <si>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</si>
  <si>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</si>
  <si>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</si>
  <si>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</si>
  <si>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</si>
  <si>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</si>
  <si>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</si>
  <si>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</si>
  <si>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</si>
  <si>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</si>
  <si>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</si>
  <si>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</si>
  <si>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</si>
  <si>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</si>
  <si>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</si>
  <si>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</si>
  <si>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</si>
  <si>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</si>
  <si>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</si>
  <si>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</si>
  <si>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</si>
  <si>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</si>
  <si>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</si>
  <si>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</si>
  <si>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</si>
  <si>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</si>
  <si>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</si>
  <si>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</si>
  <si>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</si>
  <si>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</si>
  <si>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</si>
  <si>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</si>
  <si>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</si>
  <si>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</si>
  <si>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</si>
  <si>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</si>
  <si>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</si>
  <si>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</si>
  <si>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</si>
  <si>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</si>
  <si>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</si>
  <si>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</si>
  <si>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</si>
  <si>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</si>
  <si>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</si>
  <si>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</si>
  <si>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</si>
  <si>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</si>
  <si>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</si>
  <si>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</si>
  <si>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</si>
  <si>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</si>
  <si>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</si>
  <si>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</si>
  <si>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</si>
  <si>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</si>
  <si>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</si>
  <si>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</si>
  <si>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</si>
  <si>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</si>
  <si>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</si>
  <si>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</si>
  <si>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</si>
  <si>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</si>
  <si>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</si>
  <si>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</si>
  <si>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</si>
  <si>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</si>
  <si>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</si>
  <si>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</si>
  <si>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</si>
  <si>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</si>
  <si>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</si>
  <si>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</si>
  <si>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</si>
  <si>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</si>
  <si>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</si>
  <si>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</si>
  <si>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</si>
  <si>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</si>
  <si>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</si>
  <si>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</si>
  <si>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</si>
  <si>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</si>
  <si>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</si>
  <si>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</si>
  <si>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</si>
  <si>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</si>
  <si>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</si>
  <si>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</si>
  <si>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</si>
  <si>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</si>
  <si>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</si>
  <si>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</si>
  <si>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</si>
  <si>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</si>
  <si>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</si>
  <si>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</si>
  <si>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</si>
  <si>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</si>
  <si>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</si>
  <si>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</si>
  <si>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</si>
  <si>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</si>
  <si>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</si>
  <si>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</si>
  <si>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</si>
  <si>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</si>
  <si>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</si>
  <si>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</si>
  <si>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</si>
  <si>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</si>
  <si>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</si>
  <si>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</si>
  <si>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</si>
  <si>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</si>
  <si>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</si>
  <si>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</si>
  <si>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</si>
  <si>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</si>
  <si>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</si>
  <si>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</si>
  <si>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</si>
  <si>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</si>
  <si>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</si>
  <si>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</si>
  <si>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</si>
  <si>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</si>
  <si>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</si>
  <si>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</si>
  <si>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</si>
  <si>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</si>
  <si>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</si>
  <si>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</si>
  <si>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</si>
  <si>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</si>
  <si>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</si>
  <si>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</si>
  <si>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</si>
  <si>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</si>
  <si>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</si>
  <si>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</si>
  <si>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</si>
  <si>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</si>
  <si>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</si>
  <si>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</si>
  <si>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</si>
  <si>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</si>
  <si>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</si>
  <si>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</si>
  <si>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</si>
  <si>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</si>
  <si>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</si>
  <si>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</si>
  <si>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</si>
  <si>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</si>
  <si>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</si>
  <si>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</si>
  <si>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</si>
  <si>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</si>
  <si>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</si>
  <si>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</si>
  <si>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</si>
  <si>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</si>
  <si>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</si>
  <si>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</si>
  <si>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</si>
  <si>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</si>
  <si>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</si>
  <si>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</si>
  <si>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</si>
  <si>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</si>
  <si>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</si>
  <si>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</si>
  <si>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</si>
  <si>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</si>
  <si>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</si>
  <si>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</si>
  <si>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</si>
  <si>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</si>
  <si>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</si>
  <si>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</si>
  <si>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</si>
  <si>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</si>
  <si>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</si>
  <si>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</si>
  <si>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</si>
  <si>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</si>
  <si>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</si>
  <si>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</si>
  <si>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</si>
  <si>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</si>
  <si>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</si>
  <si>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</si>
  <si>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</si>
  <si>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</si>
  <si>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</si>
  <si>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</si>
  <si>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</si>
  <si>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</si>
  <si>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</si>
  <si>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</si>
  <si>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</si>
  <si>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</si>
  <si>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</si>
  <si>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</si>
  <si>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</si>
  <si>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</si>
  <si>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</si>
  <si>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</si>
  <si>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</si>
  <si>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</si>
  <si>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</si>
  <si>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</si>
  <si>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</si>
  <si>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</si>
  <si>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</si>
  <si>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</si>
  <si>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</si>
  <si>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</si>
  <si>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</si>
  <si>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</si>
  <si>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</si>
  <si>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</si>
  <si>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</si>
  <si>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</si>
  <si>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</si>
  <si>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</si>
  <si>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</si>
  <si>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</si>
  <si>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</si>
  <si>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</si>
  <si>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</si>
  <si>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</si>
  <si>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</si>
  <si>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</si>
  <si>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</si>
  <si>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</si>
  <si>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</si>
  <si>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</si>
  <si>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</si>
  <si>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</si>
  <si>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</si>
  <si>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</si>
  <si>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</si>
  <si>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</si>
  <si>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</si>
  <si>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</si>
  <si>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</si>
  <si>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</si>
  <si>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</si>
  <si>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</si>
  <si>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</si>
  <si>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</si>
  <si>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</si>
  <si>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</si>
  <si>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</si>
  <si>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</si>
  <si>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</si>
  <si>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</si>
  <si>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</si>
  <si>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</si>
  <si>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</si>
  <si>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</si>
  <si>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</si>
  <si>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</si>
  <si>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</si>
  <si>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</si>
  <si>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</si>
  <si>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</si>
  <si>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</si>
  <si>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</si>
  <si>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</si>
  <si>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</si>
  <si>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</si>
  <si>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</si>
  <si>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</si>
  <si>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</si>
  <si>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</si>
  <si>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</si>
  <si>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</si>
  <si>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</si>
  <si>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</si>
  <si>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</si>
  <si>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</si>
  <si>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</si>
  <si>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</si>
  <si>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</si>
  <si>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</si>
  <si>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</si>
  <si>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</si>
  <si>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</si>
  <si>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</si>
  <si>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</si>
  <si>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</si>
  <si>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</si>
  <si>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</si>
  <si>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</si>
  <si>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</si>
  <si>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</si>
  <si>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</si>
  <si>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</si>
  <si>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</si>
  <si>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</si>
  <si>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</si>
  <si>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</si>
  <si>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</si>
  <si>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</si>
  <si>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</si>
  <si>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</si>
  <si>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</si>
  <si>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</si>
  <si>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</si>
  <si>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</si>
  <si>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</si>
  <si>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</si>
  <si>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</si>
  <si>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</si>
  <si>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</si>
  <si>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</si>
  <si>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</si>
  <si>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</si>
  <si>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</si>
  <si>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</si>
  <si>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</si>
  <si>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</si>
  <si>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</si>
  <si>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</si>
  <si>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</si>
  <si>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</si>
  <si>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</si>
  <si>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</si>
  <si>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</si>
  <si>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</si>
  <si>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</si>
  <si>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</si>
  <si>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</si>
  <si>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</si>
  <si>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</si>
  <si>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</si>
  <si>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</si>
  <si>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</si>
  <si>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</si>
  <si>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</si>
  <si>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</si>
  <si>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</si>
  <si>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</si>
  <si>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</si>
  <si>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</si>
  <si>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</si>
  <si>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</si>
  <si>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</si>
  <si>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</si>
  <si>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</si>
  <si>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</si>
  <si>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</si>
  <si>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</si>
  <si>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</si>
  <si>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</si>
  <si>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</si>
  <si>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</si>
  <si>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</si>
  <si>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</si>
  <si>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</si>
  <si>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</si>
  <si>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</si>
  <si>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</si>
  <si>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</si>
  <si>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</si>
  <si>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</si>
  <si>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</si>
  <si>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</si>
  <si>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</si>
  <si>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</si>
  <si>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</si>
  <si>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</si>
  <si>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</si>
  <si>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</si>
  <si>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</si>
  <si>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</si>
  <si>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</si>
  <si>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</si>
  <si>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</si>
  <si>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</si>
  <si>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</si>
  <si>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</si>
  <si>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</si>
  <si>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</si>
  <si>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</si>
  <si>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</si>
  <si>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</si>
  <si>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</si>
  <si>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</si>
  <si>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</si>
  <si>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</si>
  <si>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</si>
  <si>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</si>
  <si>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</si>
  <si>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</si>
  <si>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</si>
  <si>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</si>
  <si>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</si>
  <si>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</si>
  <si>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</si>
  <si>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</si>
  <si>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</si>
  <si>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</si>
  <si>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</si>
  <si>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</si>
  <si>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</si>
  <si>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</si>
  <si>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</si>
  <si>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</si>
  <si>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</si>
  <si>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</si>
  <si>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</si>
  <si>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</si>
  <si>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</si>
  <si>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</si>
  <si>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</si>
  <si>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</si>
  <si>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</si>
  <si>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</si>
  <si>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</si>
  <si>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</si>
  <si>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</si>
  <si>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</si>
  <si>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</si>
  <si>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</si>
  <si>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</si>
  <si>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</si>
  <si>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</si>
  <si>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</si>
  <si>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</si>
  <si>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</si>
  <si>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</si>
  <si>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</si>
  <si>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</si>
  <si>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</si>
  <si>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</si>
  <si>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</si>
  <si>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</si>
  <si>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</si>
  <si>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</si>
  <si>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</si>
  <si>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</si>
  <si>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</si>
  <si>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</si>
  <si>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</si>
  <si>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</si>
  <si>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</si>
  <si>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</si>
  <si>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</si>
  <si>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</si>
  <si>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</si>
  <si>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</si>
  <si>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</si>
  <si>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</si>
  <si>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</si>
  <si>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</si>
  <si>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</si>
  <si>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</si>
  <si>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</si>
  <si>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</si>
  <si>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</si>
  <si>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</si>
  <si>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</si>
  <si>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</si>
  <si>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</si>
  <si>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</si>
  <si>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</si>
  <si>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</si>
  <si>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</si>
  <si>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</si>
  <si>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</si>
  <si>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</si>
  <si>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</si>
  <si>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</si>
  <si>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</si>
  <si>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</si>
  <si>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</si>
  <si>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</si>
  <si>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</si>
  <si>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</si>
  <si>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</si>
  <si>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</si>
  <si>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</si>
  <si>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</si>
  <si>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</si>
  <si>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</si>
  <si>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</si>
  <si>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</si>
  <si>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</si>
  <si>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</si>
  <si>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</si>
  <si>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</si>
  <si>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</si>
  <si>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</si>
  <si>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</si>
  <si>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</si>
  <si>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</si>
  <si>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</si>
  <si>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</si>
  <si>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</si>
  <si>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</si>
  <si>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</si>
  <si>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</si>
  <si>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</si>
  <si>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</si>
  <si>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</si>
  <si>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</si>
  <si>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</si>
  <si>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</si>
  <si>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</si>
  <si>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</si>
  <si>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</si>
  <si>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</si>
  <si>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</si>
  <si>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</si>
  <si>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</si>
  <si>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</si>
  <si>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</si>
  <si>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</si>
  <si>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</si>
  <si>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</si>
  <si>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</si>
  <si>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</si>
  <si>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</si>
  <si>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</si>
  <si>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</si>
  <si>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</si>
  <si>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</si>
  <si>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</si>
  <si>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</si>
  <si>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</si>
  <si>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</si>
  <si>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</si>
  <si>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</si>
  <si>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</si>
  <si>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</si>
  <si>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</si>
  <si>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</si>
  <si>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</si>
  <si>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</si>
  <si>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</si>
  <si>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</si>
  <si>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</si>
  <si>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</si>
  <si>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</si>
  <si>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</si>
  <si>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</si>
  <si>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</si>
  <si>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</si>
  <si>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</si>
  <si>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</si>
  <si>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</si>
  <si>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</si>
  <si>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</si>
  <si>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</si>
  <si>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</si>
  <si>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</si>
  <si>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</si>
  <si>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</si>
  <si>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</si>
  <si>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</si>
  <si>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</si>
  <si>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</si>
  <si>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</si>
  <si>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</si>
  <si>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</si>
  <si>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</si>
  <si>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</si>
  <si>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</si>
  <si>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</si>
  <si>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</si>
  <si>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</si>
  <si>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</si>
  <si>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</si>
  <si>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</si>
  <si>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</si>
  <si>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</si>
  <si>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</si>
  <si>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</si>
  <si>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</si>
  <si>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</si>
  <si>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</si>
  <si>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</si>
  <si>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</si>
  <si>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</si>
  <si>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</si>
  <si>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</si>
  <si>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</si>
  <si>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</si>
  <si>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</si>
  <si>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</si>
  <si>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</si>
  <si>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</si>
  <si>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</si>
  <si>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</si>
  <si>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</si>
  <si>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</si>
  <si>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</si>
  <si>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</si>
  <si>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</si>
  <si>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</si>
  <si>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</si>
  <si>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</si>
  <si>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</si>
  <si>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</si>
  <si>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</si>
  <si>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</si>
  <si>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</si>
  <si>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</si>
  <si>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</si>
  <si>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</si>
  <si>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</si>
  <si>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</si>
  <si>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</si>
  <si>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</si>
  <si>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</si>
  <si>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</si>
  <si>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</si>
  <si>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</si>
  <si>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</si>
  <si>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</si>
  <si>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</si>
  <si>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</si>
  <si>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</si>
  <si>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</si>
  <si>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</si>
  <si>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</si>
  <si>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</si>
  <si>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</si>
  <si>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</si>
  <si>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</si>
  <si>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</si>
  <si>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</si>
  <si>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</si>
  <si>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</si>
  <si>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</si>
  <si>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</si>
  <si>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</si>
  <si>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</si>
  <si>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</si>
  <si>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</si>
  <si>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</si>
  <si>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</si>
  <si>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</si>
  <si>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</si>
  <si>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</si>
  <si>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</si>
  <si>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</si>
  <si>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</si>
  <si>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</si>
  <si>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</si>
  <si>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</si>
  <si>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</si>
  <si>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</si>
  <si>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</si>
  <si>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</si>
  <si>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</si>
  <si>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</si>
  <si>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</si>
  <si>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</si>
  <si>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</si>
  <si>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</si>
  <si>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</si>
  <si>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</si>
  <si>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</si>
  <si>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</si>
  <si>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</si>
  <si>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</si>
  <si>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</si>
  <si>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</si>
  <si>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</si>
  <si>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</si>
  <si>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</si>
  <si>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</si>
  <si>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</si>
  <si>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</si>
  <si>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</si>
  <si>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</si>
  <si>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</si>
  <si>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</si>
  <si>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</si>
  <si>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</si>
  <si>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</si>
  <si>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</si>
  <si>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</si>
  <si>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</si>
  <si>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</si>
  <si>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</si>
  <si>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</si>
  <si>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</si>
  <si>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</si>
  <si>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</si>
  <si>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</si>
  <si>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</si>
  <si>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</si>
  <si>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</si>
  <si>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</si>
  <si>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</si>
  <si>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</si>
  <si>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</si>
  <si>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</si>
  <si>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</si>
  <si>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</si>
  <si>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</si>
  <si>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</si>
  <si>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</si>
  <si>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</si>
  <si>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</si>
  <si>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</si>
  <si>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</si>
  <si>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</si>
  <si>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</si>
  <si>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</si>
  <si>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</si>
  <si>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</si>
  <si>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</si>
  <si>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</si>
  <si>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</si>
  <si>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</si>
  <si>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</si>
  <si>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</si>
  <si>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</si>
  <si>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</si>
  <si>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</si>
  <si>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</si>
  <si>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</si>
  <si>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</si>
  <si>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</si>
  <si>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</si>
  <si>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</si>
  <si>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</si>
  <si>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</si>
  <si>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</si>
  <si>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</si>
  <si>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</si>
  <si>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</si>
  <si>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</si>
  <si>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</si>
  <si>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</si>
  <si>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</si>
  <si>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</si>
  <si>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</si>
  <si>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</si>
  <si>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</si>
  <si>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</si>
  <si>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</si>
  <si>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</si>
  <si>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</si>
  <si>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</si>
  <si>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</si>
  <si>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</si>
  <si>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</si>
  <si>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</si>
  <si>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</si>
  <si>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</si>
  <si>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</si>
  <si>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</si>
  <si>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</si>
  <si>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</si>
  <si>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</si>
  <si>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</si>
  <si>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</si>
  <si>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</si>
  <si>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</si>
  <si>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</si>
  <si>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</si>
  <si>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</si>
  <si>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</si>
  <si>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</si>
  <si>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</si>
  <si>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</si>
  <si>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</si>
  <si>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</si>
  <si>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</si>
  <si>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</si>
  <si>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</si>
  <si>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</si>
  <si>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</si>
  <si>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</si>
  <si>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</si>
  <si>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</si>
  <si>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</si>
  <si>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</si>
  <si>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</si>
  <si>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</si>
  <si>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</si>
  <si>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</si>
  <si>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</si>
  <si>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</si>
  <si>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</si>
  <si>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</si>
  <si>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</si>
  <si>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</si>
  <si>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</si>
  <si>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</si>
  <si>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</si>
  <si>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</si>
  <si>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</si>
  <si>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</si>
  <si>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</si>
  <si>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</si>
  <si>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</si>
  <si>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</si>
  <si>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</si>
  <si>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</si>
  <si>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</si>
  <si>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</si>
  <si>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</si>
  <si>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</si>
  <si>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</si>
  <si>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</si>
  <si>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</si>
  <si>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</si>
  <si>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</si>
  <si>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</si>
  <si>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</si>
  <si>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</si>
  <si>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</si>
  <si>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</si>
  <si>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</si>
  <si>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</si>
  <si>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</si>
  <si>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</si>
  <si>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</si>
  <si>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</si>
  <si>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</si>
  <si>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</si>
  <si>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</si>
  <si>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</si>
  <si>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</si>
  <si>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</si>
  <si>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</si>
  <si>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</si>
  <si>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</si>
  <si>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</si>
  <si>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</si>
  <si>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</si>
  <si>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</si>
  <si>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</si>
  <si>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</si>
  <si>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</si>
  <si>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</si>
  <si>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</si>
  <si>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</si>
  <si>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</si>
  <si>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</si>
  <si>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</si>
  <si>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</si>
  <si>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</si>
  <si>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</si>
  <si>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</si>
  <si>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</si>
  <si>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</si>
  <si>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</si>
  <si>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</si>
  <si>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</si>
  <si>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</si>
  <si>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</si>
  <si>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</si>
  <si>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</si>
  <si>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</si>
  <si>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</si>
  <si>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</si>
  <si>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</si>
  <si>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</si>
  <si>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</si>
  <si>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</si>
  <si>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</si>
  <si>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</si>
  <si>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</si>
  <si>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</si>
  <si>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</si>
  <si>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</si>
  <si>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</si>
  <si>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</si>
  <si>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</si>
  <si>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</si>
  <si>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</si>
  <si>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</si>
  <si>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</si>
  <si>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</si>
  <si>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</si>
  <si>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</si>
  <si>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</si>
  <si>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</si>
  <si>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</si>
  <si>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</si>
  <si>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</si>
  <si>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</si>
  <si>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</si>
  <si>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</si>
  <si>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</si>
  <si>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</si>
  <si>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</si>
  <si>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</si>
  <si>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</si>
  <si>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</si>
  <si>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</si>
  <si>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</si>
  <si>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</si>
  <si>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</si>
  <si>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</si>
  <si>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</si>
  <si>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</si>
  <si>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</si>
  <si>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</si>
  <si>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</si>
  <si>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</si>
  <si>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</si>
  <si>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</si>
  <si>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</si>
  <si>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</si>
  <si>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</si>
  <si>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</si>
  <si>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</si>
  <si>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</si>
  <si>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</si>
  <si>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</si>
  <si>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</si>
  <si>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</si>
  <si>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</si>
  <si>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</si>
  <si>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</si>
  <si>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</si>
  <si>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</si>
  <si>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</si>
  <si>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</si>
  <si>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</si>
  <si>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</si>
  <si>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</si>
  <si>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</si>
  <si>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</si>
  <si>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</si>
  <si>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</si>
  <si>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</si>
  <si>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</si>
  <si>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</si>
  <si>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</si>
  <si>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</si>
  <si>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</si>
  <si>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</si>
  <si>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</si>
  <si>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</si>
  <si>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</si>
  <si>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</si>
  <si>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</si>
  <si>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</si>
  <si>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</si>
  <si>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</si>
  <si>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</si>
  <si>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</si>
  <si>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</si>
  <si>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</si>
  <si>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</si>
  <si>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</si>
  <si>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</si>
  <si>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</si>
  <si>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</si>
  <si>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</si>
  <si>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</si>
  <si>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</si>
  <si>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</si>
  <si>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</si>
  <si>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</si>
  <si>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</si>
  <si>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</si>
  <si>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</si>
  <si>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</si>
  <si>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</si>
  <si>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</si>
  <si>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</si>
  <si>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</si>
  <si>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</si>
  <si>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</si>
  <si>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</si>
  <si>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</si>
  <si>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</si>
  <si>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</si>
  <si>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</si>
  <si>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</si>
  <si>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</si>
  <si>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</si>
  <si>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</si>
  <si>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</si>
  <si>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</si>
  <si>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</si>
  <si>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</si>
  <si>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</si>
  <si>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</si>
  <si>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</si>
  <si>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</si>
  <si>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</si>
  <si>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</si>
  <si>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</si>
  <si>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</si>
  <si>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</si>
  <si>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</si>
  <si>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</si>
  <si>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</si>
  <si>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</si>
  <si>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</si>
  <si>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</si>
  <si>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</si>
  <si>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</si>
  <si>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</si>
  <si>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</si>
  <si>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</si>
  <si>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</si>
  <si>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</si>
  <si>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</si>
  <si>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</si>
  <si>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</si>
  <si>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</si>
  <si>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</si>
  <si>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</si>
  <si>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</si>
  <si>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</si>
  <si>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</si>
  <si>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</si>
  <si>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</si>
  <si>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</si>
  <si>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</si>
  <si>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</si>
  <si>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</si>
  <si>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</si>
  <si>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</si>
  <si>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</si>
  <si>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</si>
  <si>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</si>
  <si>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</si>
  <si>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</si>
  <si>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</si>
  <si>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</si>
  <si>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</si>
  <si>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</si>
  <si>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</si>
  <si>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</si>
  <si>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</si>
  <si>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</si>
  <si>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</si>
  <si>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</si>
  <si>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</si>
  <si>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</si>
  <si>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</si>
  <si>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</si>
  <si>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</si>
  <si>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</si>
  <si>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</si>
  <si>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</si>
  <si>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</si>
  <si>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</si>
  <si>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</si>
  <si>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</si>
  <si>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</si>
  <si>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</si>
  <si>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</si>
  <si>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</si>
  <si>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</si>
  <si>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</si>
  <si>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</si>
  <si>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</si>
  <si>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</si>
  <si>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</si>
  <si>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</si>
  <si>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</si>
  <si>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</si>
  <si>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</si>
  <si>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</si>
  <si>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</si>
  <si>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</si>
  <si>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</si>
  <si>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</si>
  <si>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</si>
  <si>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</si>
  <si>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</si>
  <si>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</si>
  <si>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</si>
  <si>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</si>
  <si>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</si>
  <si>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</si>
  <si>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</si>
  <si>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</si>
  <si>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</si>
  <si>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</si>
  <si>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</si>
  <si>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</si>
  <si>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</si>
  <si>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</si>
  <si>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</si>
  <si>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</si>
  <si>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</si>
  <si>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</si>
  <si>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</si>
  <si>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</si>
  <si>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</si>
  <si>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</si>
  <si>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</si>
  <si>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</si>
  <si>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</si>
  <si>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</si>
  <si>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</si>
  <si>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</si>
  <si>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</si>
  <si>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</si>
  <si>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</si>
  <si>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</si>
  <si>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</si>
  <si>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</si>
  <si>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</si>
  <si>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</si>
  <si>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</si>
  <si>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</si>
  <si>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</si>
  <si>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</si>
  <si>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</si>
  <si>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</si>
  <si>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</si>
  <si>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</si>
  <si>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</si>
  <si>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</si>
  <si>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</si>
  <si>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</si>
  <si>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</si>
  <si>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</si>
  <si>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</si>
  <si>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</si>
  <si>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</si>
  <si>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</si>
  <si>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</si>
  <si>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</si>
  <si>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</si>
  <si>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</si>
  <si>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</si>
  <si>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</si>
  <si>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</si>
  <si>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</si>
  <si>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</si>
  <si>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</si>
  <si>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</si>
  <si>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</si>
  <si>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</si>
  <si>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</si>
  <si>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</si>
  <si>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</si>
  <si>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</si>
  <si>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</si>
  <si>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</si>
  <si>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</si>
  <si>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</si>
  <si>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</si>
  <si>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</si>
  <si>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</si>
  <si>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</si>
  <si>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</si>
  <si>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</si>
  <si>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</si>
  <si>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</si>
  <si>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</si>
  <si>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</si>
  <si>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</si>
  <si>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</si>
  <si>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</si>
  <si>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</si>
  <si>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</si>
  <si>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</si>
  <si>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</si>
  <si>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</si>
  <si>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</si>
  <si>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</si>
  <si>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</si>
  <si>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</si>
  <si>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</si>
  <si>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</si>
  <si>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</si>
  <si>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</si>
  <si>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</si>
  <si>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</si>
  <si>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</si>
  <si>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</si>
  <si>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</si>
  <si>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</si>
  <si>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</si>
  <si>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</si>
  <si>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</si>
  <si>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</si>
  <si>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</si>
  <si>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</si>
  <si>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</si>
  <si>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</si>
  <si>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</si>
  <si>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</si>
  <si>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</si>
  <si>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</si>
  <si>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</si>
  <si>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</si>
  <si>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</si>
  <si>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</si>
  <si>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</si>
  <si>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</si>
  <si>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</si>
  <si>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</si>
  <si>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</si>
  <si>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</si>
  <si>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</si>
  <si>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</si>
  <si>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</si>
  <si>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</si>
  <si>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</si>
  <si>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</si>
  <si>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</si>
  <si>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</si>
  <si>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</si>
  <si>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</si>
  <si>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</si>
  <si>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</si>
  <si>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</si>
  <si>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</si>
  <si>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</si>
  <si>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</si>
  <si>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</si>
  <si>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</si>
  <si>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</si>
  <si>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</si>
  <si>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</si>
  <si>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</si>
  <si>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</si>
  <si>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</si>
  <si>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</si>
  <si>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</si>
  <si>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</si>
  <si>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</si>
  <si>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</si>
  <si>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</si>
  <si>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</si>
  <si>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</si>
  <si>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</si>
  <si>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</si>
  <si>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</si>
  <si>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</si>
  <si>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</si>
  <si>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</si>
  <si>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</si>
  <si>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</si>
  <si>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</si>
  <si>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</si>
  <si>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</si>
  <si>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</si>
  <si>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</si>
  <si>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</si>
  <si>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</si>
  <si>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</si>
  <si>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</si>
  <si>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</si>
  <si>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</si>
  <si>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</si>
  <si>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</si>
  <si>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</si>
  <si>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</si>
  <si>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</si>
  <si>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</si>
  <si>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</si>
  <si>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</si>
  <si>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</si>
  <si>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</si>
  <si>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</si>
  <si>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</si>
  <si>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</si>
  <si>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</si>
  <si>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</si>
  <si>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</si>
  <si>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</si>
  <si>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</si>
  <si>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</si>
  <si>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</si>
  <si>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</si>
  <si>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</si>
  <si>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</si>
  <si>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</si>
  <si>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</si>
  <si>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</si>
  <si>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</si>
  <si>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</si>
  <si>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</si>
  <si>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</si>
  <si>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</si>
  <si>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</si>
  <si>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</si>
  <si>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</si>
  <si>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</si>
  <si>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</si>
  <si>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</si>
  <si>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</si>
  <si>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</si>
  <si>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</si>
  <si>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</si>
  <si>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</si>
  <si>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</si>
  <si>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</si>
  <si>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</si>
  <si>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</si>
  <si>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</si>
  <si>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</si>
  <si>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</si>
  <si>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</si>
  <si>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</si>
  <si>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</si>
  <si>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</si>
  <si>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</si>
  <si>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</si>
  <si>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</si>
  <si>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</si>
  <si>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</si>
  <si>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</si>
  <si>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</si>
  <si>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</si>
  <si>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</si>
  <si>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</si>
  <si>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</si>
  <si>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</si>
  <si>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</si>
  <si>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</si>
  <si>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</si>
  <si>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</si>
  <si>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</si>
  <si>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</si>
  <si>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</si>
  <si>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</si>
  <si>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</si>
  <si>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</si>
  <si>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</si>
  <si>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</si>
  <si>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</si>
  <si>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</si>
  <si>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</si>
  <si>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</si>
  <si>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</si>
  <si>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</si>
  <si>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</si>
  <si>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</si>
  <si>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</si>
  <si>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</si>
  <si>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</si>
  <si>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</si>
  <si>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</si>
  <si>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</si>
  <si>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</si>
  <si>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</si>
  <si>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</si>
  <si>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</si>
  <si>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</si>
  <si>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</si>
  <si>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</si>
  <si>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</si>
  <si>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</si>
  <si>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</si>
  <si>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</si>
  <si>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</si>
  <si>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</si>
  <si>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</si>
  <si>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</si>
  <si>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</si>
  <si>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</si>
  <si>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</si>
  <si>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</si>
  <si>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</si>
  <si>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</si>
  <si>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</si>
  <si>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</si>
  <si>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</si>
  <si>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</si>
  <si>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</si>
  <si>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</si>
  <si>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</si>
  <si>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</si>
  <si>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</si>
  <si>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</si>
  <si>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</si>
  <si>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</si>
  <si>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</si>
  <si>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</si>
  <si>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</si>
  <si>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</si>
  <si>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</si>
  <si>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</si>
  <si>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</si>
  <si>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</si>
  <si>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</si>
  <si>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</si>
  <si>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</si>
  <si>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</si>
  <si>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</si>
  <si>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</si>
  <si>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</si>
  <si>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</si>
  <si>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</si>
  <si>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</si>
  <si>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</si>
  <si>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</si>
  <si>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</si>
  <si>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</si>
  <si>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</si>
  <si>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</si>
  <si>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</si>
  <si>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</si>
  <si>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</si>
  <si>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</si>
  <si>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</si>
  <si>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</si>
  <si>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</si>
  <si>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</si>
  <si>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</si>
  <si>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</si>
  <si>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</si>
  <si>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</si>
  <si>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</si>
  <si>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</si>
  <si>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</si>
  <si>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</si>
  <si>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</si>
  <si>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</si>
  <si>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</si>
  <si>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</si>
  <si>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</si>
  <si>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</si>
  <si>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</si>
  <si>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</si>
  <si>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</si>
  <si>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</si>
  <si>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</si>
  <si>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</si>
  <si>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</si>
  <si>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</si>
  <si>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</si>
  <si>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</si>
  <si>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</si>
  <si>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</si>
  <si>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</si>
  <si>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</si>
  <si>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</si>
  <si>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</si>
  <si>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</si>
  <si>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</si>
  <si>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</si>
  <si>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</si>
  <si>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</si>
  <si>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</si>
  <si>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</si>
  <si>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</si>
  <si>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</si>
  <si>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</si>
  <si>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</si>
  <si>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</si>
  <si>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</si>
  <si>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</si>
  <si>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</si>
  <si>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</si>
  <si>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</si>
  <si>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</si>
  <si>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</si>
  <si>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</si>
  <si>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</si>
  <si>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</si>
  <si>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</si>
  <si>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</si>
  <si>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</si>
  <si>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</si>
  <si>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</si>
  <si>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</si>
  <si>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</si>
  <si>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</si>
  <si>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</si>
  <si>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</si>
  <si>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</si>
  <si>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</si>
  <si>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</si>
  <si>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</si>
  <si>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</si>
  <si>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</si>
  <si>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</si>
  <si>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</si>
  <si>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</si>
  <si>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</si>
  <si>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</si>
  <si>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</si>
  <si>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</si>
  <si>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</si>
  <si>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</si>
  <si>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</si>
  <si>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</si>
  <si>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</si>
  <si>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</si>
  <si>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</si>
  <si>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</si>
  <si>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</si>
  <si>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</si>
  <si>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</si>
  <si>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</si>
  <si>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</si>
  <si>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</si>
  <si>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</si>
  <si>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</si>
  <si>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</si>
  <si>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</si>
  <si>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</si>
  <si>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</si>
  <si>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</si>
  <si>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</si>
  <si>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</si>
  <si>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</si>
  <si>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</si>
  <si>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</si>
  <si>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</si>
  <si>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</si>
  <si>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</si>
  <si>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</si>
  <si>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</si>
  <si>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</si>
  <si>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</si>
  <si>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</si>
  <si>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</si>
  <si>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</si>
  <si>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</si>
  <si>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</si>
  <si>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</si>
  <si>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</si>
  <si>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</si>
  <si>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</si>
  <si>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</si>
  <si>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</si>
  <si>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</si>
  <si>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</si>
  <si>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</si>
  <si>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</si>
  <si>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</si>
  <si>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</si>
  <si>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</si>
  <si>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</si>
  <si>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</si>
  <si>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</si>
  <si>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</si>
  <si>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</si>
  <si>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</si>
  <si>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</si>
  <si>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</si>
  <si>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</si>
  <si>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</si>
  <si>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</si>
  <si>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</si>
  <si>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</si>
  <si>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</si>
  <si>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</si>
  <si>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</si>
  <si>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</si>
  <si>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</si>
  <si>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</si>
  <si>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</si>
  <si>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</si>
  <si>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</si>
  <si>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</si>
  <si>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</si>
  <si>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</si>
  <si>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</si>
  <si>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</si>
  <si>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</si>
  <si>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</si>
  <si>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</si>
  <si>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</si>
  <si>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</si>
  <si>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</si>
  <si>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</si>
  <si>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</si>
  <si>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</si>
  <si>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</si>
  <si>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</si>
  <si>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</si>
  <si>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</si>
  <si>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</si>
  <si>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</si>
  <si>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</si>
  <si>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</si>
  <si>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</si>
  <si>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</si>
  <si>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</si>
  <si>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</si>
  <si>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</si>
  <si>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</si>
  <si>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</si>
  <si>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</si>
  <si>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</si>
  <si>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</si>
  <si>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</si>
  <si>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</si>
  <si>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</si>
  <si>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</si>
  <si>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</si>
  <si>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</si>
  <si>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</si>
  <si>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</si>
  <si>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</si>
  <si>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</si>
  <si>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</si>
  <si>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</si>
  <si>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</si>
  <si>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</si>
  <si>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</si>
  <si>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</si>
  <si>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</si>
  <si>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</si>
  <si>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</si>
  <si>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</si>
  <si>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</si>
  <si>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</si>
  <si>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</si>
  <si>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</si>
  <si>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</si>
  <si>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</si>
  <si>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</si>
  <si>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</si>
  <si>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</si>
  <si>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</si>
  <si>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</si>
  <si>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</si>
  <si>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</si>
  <si>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</si>
  <si>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</si>
  <si>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</si>
  <si>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</si>
  <si>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</si>
  <si>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</si>
  <si>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</si>
  <si>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</si>
  <si>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</si>
  <si>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</si>
  <si>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</si>
  <si>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</si>
  <si>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</si>
  <si>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</si>
  <si>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</si>
  <si>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</si>
  <si>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</si>
  <si>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</si>
  <si>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</si>
  <si>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</si>
  <si>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</si>
  <si>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</si>
  <si>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</si>
  <si>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</si>
  <si>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</si>
  <si>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</si>
  <si>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</si>
  <si>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</si>
  <si>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</si>
  <si>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</si>
  <si>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</si>
  <si>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</si>
  <si>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</si>
  <si>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</si>
  <si>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</si>
  <si>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</si>
  <si>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</si>
  <si>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</si>
  <si>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</si>
  <si>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</si>
  <si>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</si>
  <si>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</si>
  <si>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</si>
  <si>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</si>
  <si>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</si>
  <si>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</si>
  <si>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</si>
  <si>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</si>
  <si>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</si>
  <si>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</si>
  <si>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</si>
  <si>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</si>
  <si>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</si>
  <si>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</si>
  <si>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</si>
  <si>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</si>
  <si>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</si>
  <si>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</si>
  <si>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</si>
  <si>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</si>
  <si>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</si>
  <si>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</si>
  <si>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</si>
  <si>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</si>
  <si>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</si>
  <si>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</si>
  <si>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</si>
  <si>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</si>
  <si>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</si>
  <si>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</si>
  <si>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</si>
  <si>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</si>
  <si>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</si>
  <si>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</si>
  <si>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</si>
  <si>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</si>
  <si>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</si>
  <si>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</si>
  <si>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</si>
  <si>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</si>
  <si>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</si>
  <si>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</si>
  <si>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</si>
  <si>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</si>
  <si>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</si>
  <si>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</si>
  <si>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</si>
  <si>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</si>
  <si>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</si>
  <si>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</si>
  <si>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</si>
  <si>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</si>
  <si>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</si>
  <si>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</si>
  <si>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</si>
  <si>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</si>
  <si>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</si>
  <si>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</si>
  <si>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</si>
  <si>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</si>
  <si>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</si>
  <si>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</si>
  <si>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</si>
  <si>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</si>
  <si>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</si>
  <si>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</si>
  <si>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</si>
  <si>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</si>
  <si>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</si>
  <si>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</si>
  <si>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</si>
  <si>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</si>
  <si>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</si>
  <si>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</si>
  <si>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</si>
  <si>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</si>
  <si>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</si>
  <si>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</si>
  <si>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</si>
  <si>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</si>
  <si>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</si>
  <si>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</si>
  <si>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</si>
  <si>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</si>
  <si>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</si>
  <si>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</si>
  <si>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</si>
  <si>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</si>
  <si>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</si>
  <si>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</si>
  <si>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</si>
  <si>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</si>
  <si>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</si>
  <si>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</si>
  <si>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</si>
  <si>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</si>
  <si>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</si>
  <si>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</si>
  <si>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</si>
  <si>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</si>
  <si>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</si>
  <si>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</si>
  <si>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</si>
  <si>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</si>
  <si>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</si>
  <si>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</si>
  <si>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</si>
  <si>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</si>
  <si>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</si>
  <si>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</si>
  <si>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</si>
  <si>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</si>
  <si>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</si>
  <si>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</si>
  <si>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</si>
  <si>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</si>
  <si>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</si>
  <si>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</si>
  <si>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</si>
  <si>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</si>
  <si>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</si>
  <si>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</si>
  <si>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</si>
  <si>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</si>
  <si>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</si>
  <si>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</si>
  <si>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</si>
  <si>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</si>
  <si>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</si>
  <si>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</si>
  <si>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</si>
  <si>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</si>
  <si>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</si>
  <si>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</si>
  <si>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</si>
  <si>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</si>
  <si>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</si>
  <si>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</si>
  <si>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</si>
  <si>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</si>
  <si>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</si>
  <si>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</si>
  <si>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</si>
  <si>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</si>
  <si>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</si>
  <si>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</si>
  <si>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</si>
  <si>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</si>
  <si>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</si>
  <si>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</si>
  <si>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</si>
  <si>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</si>
  <si>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</si>
  <si>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</si>
  <si>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</si>
  <si>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</si>
  <si>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</si>
  <si>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</si>
  <si>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</si>
  <si>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</si>
  <si>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</si>
  <si>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</si>
  <si>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</si>
  <si>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</si>
  <si>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</si>
  <si>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</si>
  <si>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</si>
  <si>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</si>
  <si>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</si>
  <si>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</si>
  <si>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</si>
  <si>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</si>
  <si>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</si>
  <si>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</si>
  <si>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</si>
  <si>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</si>
  <si>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</si>
  <si>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</si>
  <si>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</si>
  <si>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</si>
  <si>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</si>
  <si>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</si>
  <si>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</si>
  <si>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</si>
  <si>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</si>
  <si>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</si>
  <si>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</si>
  <si>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</si>
  <si>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</si>
  <si>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</si>
  <si>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</si>
  <si>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</si>
  <si>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</si>
  <si>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</si>
  <si>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</si>
  <si>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</si>
  <si>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</si>
  <si>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</si>
  <si>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</si>
  <si>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</si>
  <si>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</si>
  <si>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</si>
  <si>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</si>
  <si>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</si>
  <si>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</si>
  <si>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</si>
  <si>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</si>
  <si>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</si>
  <si>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</si>
  <si>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</si>
  <si>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</si>
  <si>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</si>
  <si>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</si>
  <si>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</si>
  <si>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</si>
  <si>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</si>
  <si>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</si>
  <si>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</si>
  <si>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</si>
  <si>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</si>
  <si>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</si>
  <si>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</si>
  <si>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</si>
  <si>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</si>
  <si>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</si>
  <si>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</si>
  <si>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</si>
  <si>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</si>
  <si>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</si>
  <si>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</si>
  <si>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</si>
  <si>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</si>
  <si>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</si>
  <si>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</si>
  <si>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</si>
  <si>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</si>
  <si>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</si>
  <si>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</si>
  <si>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</si>
  <si>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</si>
  <si>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</si>
  <si>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</si>
  <si>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</si>
  <si>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</si>
  <si>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</si>
  <si>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</si>
  <si>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</si>
  <si>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</si>
  <si>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</si>
  <si>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</si>
  <si>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</si>
  <si>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</si>
  <si>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</si>
  <si>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</si>
  <si>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</si>
  <si>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</si>
  <si>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</si>
  <si>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</si>
  <si>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</si>
  <si>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</si>
  <si>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</si>
  <si>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</si>
  <si>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</si>
  <si>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</si>
  <si>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</si>
  <si>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</si>
  <si>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</si>
  <si>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</si>
  <si>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</si>
  <si>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</si>
  <si>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</si>
  <si>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</si>
  <si>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</si>
  <si>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</si>
  <si>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</si>
  <si>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</si>
  <si>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</si>
  <si>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</si>
  <si>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</si>
  <si>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</si>
  <si>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</si>
  <si>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</si>
  <si>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</si>
  <si>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</si>
  <si>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</si>
  <si>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</si>
  <si>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</si>
  <si>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</si>
  <si>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</si>
  <si>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</si>
  <si>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</si>
  <si>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</si>
  <si>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</si>
  <si>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</si>
  <si>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</si>
  <si>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</si>
  <si>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</si>
  <si>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</si>
  <si>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</si>
  <si>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</si>
  <si>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</si>
  <si>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</si>
  <si>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</si>
  <si>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</si>
  <si>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</si>
  <si>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</si>
  <si>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</si>
  <si>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</si>
  <si>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</si>
  <si>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</si>
  <si>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</si>
  <si>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</si>
  <si>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</si>
  <si>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</si>
  <si>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</si>
  <si>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</si>
  <si>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</si>
  <si>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</si>
  <si>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</si>
  <si>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</si>
  <si>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</si>
  <si>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</si>
  <si>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</si>
  <si>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</si>
  <si>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</si>
  <si>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</si>
  <si>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</si>
  <si>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</si>
  <si>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</si>
  <si>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</si>
  <si>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</si>
  <si>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</si>
  <si>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</si>
  <si>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</si>
  <si>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</si>
  <si>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</si>
  <si>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</si>
  <si>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</si>
  <si>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</si>
  <si>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</si>
  <si>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</si>
  <si>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</si>
  <si>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</si>
  <si>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</si>
  <si>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</si>
  <si>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</si>
  <si>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</si>
  <si>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</si>
  <si>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</si>
  <si>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</si>
  <si>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</si>
  <si>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</si>
  <si>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</si>
  <si>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</si>
  <si>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</si>
  <si>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</si>
  <si>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</si>
  <si>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</si>
  <si>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</si>
  <si>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</si>
  <si>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</si>
  <si>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</si>
  <si>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</si>
  <si>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</si>
  <si>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</si>
  <si>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</si>
  <si>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</si>
  <si>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</si>
  <si>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</si>
  <si>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</si>
  <si>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</si>
  <si>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</si>
  <si>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</si>
  <si>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</si>
  <si>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</si>
  <si>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</si>
  <si>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</si>
  <si>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</si>
  <si>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</si>
  <si>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</si>
  <si>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</si>
  <si>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</si>
  <si>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</si>
  <si>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</si>
  <si>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</si>
  <si>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</si>
  <si>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</si>
  <si>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</si>
  <si>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</si>
  <si>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</si>
  <si>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</si>
  <si>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</si>
  <si>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</si>
  <si>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</si>
  <si>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</si>
  <si>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</si>
  <si>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</si>
  <si>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</si>
  <si>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</si>
  <si>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</si>
  <si>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</si>
  <si>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</si>
  <si>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</si>
  <si>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</si>
  <si>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</si>
  <si>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</si>
  <si>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</si>
  <si>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</si>
  <si>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</si>
  <si>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</si>
  <si>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</si>
  <si>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</si>
  <si>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</si>
  <si>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</si>
  <si>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</si>
  <si>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</si>
  <si>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</si>
  <si>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</si>
  <si>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</si>
  <si>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</si>
  <si>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</si>
  <si>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</si>
  <si>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</si>
  <si>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</si>
  <si>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</si>
  <si>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</si>
  <si>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</si>
  <si>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</si>
  <si>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</si>
  <si>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</si>
  <si>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</si>
  <si>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</si>
  <si>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</si>
  <si>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</si>
  <si>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</si>
  <si>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</si>
  <si>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</si>
  <si>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</si>
  <si>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</si>
  <si>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</si>
  <si>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</si>
  <si>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</si>
  <si>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</si>
  <si>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</si>
  <si>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</si>
  <si>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</si>
  <si>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</si>
  <si>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</si>
  <si>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</si>
  <si>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</si>
  <si>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</si>
  <si>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</si>
  <si>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</si>
  <si>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</si>
  <si>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</si>
  <si>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</si>
  <si>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</si>
  <si>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</si>
  <si>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</si>
  <si>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</si>
  <si>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</si>
  <si>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</si>
  <si>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</si>
  <si>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</si>
  <si>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</si>
  <si>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</si>
  <si>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</si>
  <si>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</si>
  <si>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</si>
  <si>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</si>
  <si>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</si>
  <si>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</si>
  <si>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</si>
  <si>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</si>
  <si>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</si>
  <si>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</si>
  <si>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</si>
  <si>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</si>
  <si>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</si>
  <si>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</si>
  <si>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</si>
  <si>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</si>
  <si>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</si>
  <si>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</si>
  <si>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</si>
  <si>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</si>
  <si>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</si>
  <si>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</si>
  <si>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</si>
  <si>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</si>
  <si>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</si>
  <si>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</si>
  <si>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</si>
  <si>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</si>
  <si>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</si>
  <si>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</si>
  <si>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</si>
  <si>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</si>
  <si>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</si>
  <si>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</si>
  <si>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</si>
  <si>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</si>
  <si>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</si>
  <si>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</si>
  <si>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</si>
  <si>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</si>
  <si>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</si>
  <si>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</si>
  <si>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</si>
  <si>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</si>
  <si>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</si>
  <si>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</si>
  <si>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</si>
  <si>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</si>
  <si>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</si>
  <si>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</si>
  <si>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</si>
  <si>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</si>
  <si>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</si>
  <si>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</si>
  <si>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</si>
  <si>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</si>
  <si>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</si>
  <si>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</si>
  <si>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</si>
  <si>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</si>
  <si>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</si>
  <si>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</si>
  <si>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</si>
  <si>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</si>
  <si>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</si>
  <si>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</si>
  <si>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</si>
  <si>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</si>
  <si>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</si>
  <si>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</si>
  <si>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</si>
  <si>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</si>
  <si>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</si>
  <si>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</si>
  <si>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</si>
  <si>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</si>
  <si>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</si>
  <si>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</si>
  <si>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</si>
  <si>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</si>
  <si>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</si>
  <si>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</si>
  <si>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</si>
  <si>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</si>
  <si>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</si>
  <si>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</si>
  <si>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</si>
  <si>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</si>
  <si>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</si>
  <si>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</si>
  <si>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</si>
  <si>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</si>
  <si>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</si>
  <si>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</si>
  <si>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</si>
  <si>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</si>
  <si>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</si>
  <si>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</si>
  <si>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</si>
  <si>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</si>
  <si>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</si>
  <si>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</si>
  <si>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</si>
  <si>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</si>
  <si>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</si>
  <si>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</si>
  <si>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</si>
  <si>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</si>
  <si>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</si>
  <si>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</si>
  <si>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</si>
  <si>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</si>
  <si>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</si>
  <si>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</si>
  <si>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</si>
  <si>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</si>
  <si>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</si>
  <si>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</si>
  <si>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</si>
  <si>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</si>
  <si>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</si>
  <si>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</si>
  <si>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</si>
  <si>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</si>
  <si>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</si>
  <si>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</si>
  <si>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</si>
  <si>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</si>
  <si>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</si>
  <si>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</si>
  <si>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</si>
  <si>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</si>
  <si>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</si>
  <si>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</si>
  <si>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</si>
  <si>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</si>
  <si>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</si>
  <si>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</si>
  <si>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</si>
  <si>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</si>
  <si>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</si>
  <si>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</si>
  <si>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</si>
  <si>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</si>
  <si>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</si>
  <si>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</si>
  <si>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</si>
  <si>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</si>
  <si>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</si>
  <si>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</si>
  <si>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</si>
  <si>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</si>
  <si>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</si>
  <si>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</si>
  <si>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</si>
  <si>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</si>
  <si>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</si>
  <si>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</si>
  <si>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</si>
  <si>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</si>
  <si>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</si>
  <si>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</si>
  <si>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</si>
  <si>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</si>
  <si>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</si>
  <si>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</si>
  <si>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</si>
  <si>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</si>
  <si>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</si>
  <si>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</si>
  <si>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</si>
  <si>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</si>
  <si>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</si>
  <si>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</si>
  <si>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</si>
  <si>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</si>
  <si>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</si>
  <si>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</si>
  <si>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</si>
  <si>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</si>
  <si>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</si>
  <si>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</si>
  <si>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</si>
  <si>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</si>
  <si>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</si>
  <si>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</si>
  <si>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</si>
  <si>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</si>
  <si>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</si>
  <si>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</si>
  <si>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</si>
  <si>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</si>
  <si>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</si>
  <si>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</si>
  <si>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</si>
  <si>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</si>
  <si>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</si>
  <si>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</si>
  <si>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</si>
  <si>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</si>
  <si>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</si>
  <si>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</si>
  <si>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</si>
  <si>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</si>
  <si>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</si>
  <si>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</si>
  <si>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</si>
  <si>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</si>
  <si>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</si>
  <si>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</si>
  <si>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</si>
  <si>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</si>
  <si>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</si>
  <si>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</si>
  <si>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</si>
  <si>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</si>
  <si>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</si>
  <si>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</si>
  <si>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</si>
  <si>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</si>
  <si>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</si>
  <si>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</si>
  <si>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</si>
  <si>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</si>
  <si>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</si>
  <si>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</si>
  <si>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</si>
  <si>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</si>
  <si>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</si>
  <si>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</si>
  <si>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</si>
  <si>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</si>
  <si>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</si>
  <si>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</si>
  <si>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</si>
  <si>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</si>
  <si>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</si>
  <si>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</si>
  <si>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</si>
  <si>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</si>
  <si>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</si>
  <si>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</si>
  <si>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</si>
  <si>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</si>
  <si>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</si>
  <si>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</si>
  <si>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</si>
  <si>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</si>
  <si>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</si>
  <si>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</si>
  <si>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</si>
  <si>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</si>
  <si>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</si>
  <si>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</si>
  <si>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</si>
  <si>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</si>
  <si>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</si>
  <si>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</si>
  <si>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</si>
  <si>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</si>
  <si>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</si>
  <si>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</si>
  <si>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</si>
  <si>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</si>
  <si>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</si>
  <si>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</si>
  <si>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</si>
  <si>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</si>
  <si>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</si>
  <si>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</si>
  <si>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</si>
  <si>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</si>
  <si>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</si>
  <si>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</si>
  <si>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</si>
  <si>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</si>
  <si>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</si>
  <si>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</si>
  <si>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</si>
  <si>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</si>
  <si>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</si>
  <si>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</si>
  <si>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</si>
  <si>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</si>
  <si>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</si>
  <si>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</si>
  <si>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</si>
  <si>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</si>
  <si>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</si>
  <si>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</si>
  <si>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</si>
  <si>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</si>
  <si>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</si>
  <si>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</si>
  <si>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</si>
  <si>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</si>
  <si>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</si>
  <si>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</si>
  <si>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</si>
  <si>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</si>
  <si>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</si>
  <si>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</si>
  <si>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</si>
  <si>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</si>
  <si>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</si>
  <si>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</si>
  <si>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</si>
  <si>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</si>
  <si>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</si>
  <si>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</si>
  <si>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</si>
  <si>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</si>
  <si>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</si>
  <si>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</si>
  <si>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</si>
  <si>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</si>
  <si>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</si>
  <si>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</si>
  <si>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</si>
  <si>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</si>
  <si>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</si>
  <si>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</si>
  <si>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</si>
  <si>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</si>
  <si>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</si>
  <si>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</si>
  <si>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</si>
  <si>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</si>
  <si>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</si>
  <si>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</si>
  <si>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</si>
  <si>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</si>
  <si>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</si>
  <si>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</si>
  <si>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</si>
  <si>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</si>
  <si>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</si>
  <si>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</si>
  <si>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</si>
  <si>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</si>
  <si>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</si>
  <si>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</si>
  <si>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</si>
  <si>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</si>
  <si>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</si>
  <si>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</si>
  <si>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</si>
  <si>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</si>
  <si>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</si>
  <si>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</si>
  <si>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</si>
  <si>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</si>
  <si>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</si>
  <si>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</si>
  <si>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</si>
  <si>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</si>
  <si>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</si>
  <si>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</si>
  <si>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</si>
  <si>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</si>
  <si>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</si>
  <si>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</si>
  <si>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</si>
  <si>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</si>
  <si>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</si>
  <si>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</si>
  <si>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</si>
  <si>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</si>
  <si>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</si>
  <si>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</si>
  <si>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</si>
  <si>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</si>
  <si>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</si>
  <si>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</si>
  <si>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</si>
  <si>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</si>
  <si>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</si>
  <si>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</si>
  <si>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</si>
  <si>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</si>
  <si>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</si>
  <si>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</si>
  <si>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</si>
  <si>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</si>
  <si>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</si>
  <si>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</si>
  <si>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</si>
  <si>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</si>
  <si>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</si>
  <si>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</si>
  <si>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</si>
  <si>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</si>
  <si>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</si>
  <si>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</si>
  <si>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</si>
  <si>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</si>
  <si>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</si>
  <si>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</si>
  <si>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</si>
  <si>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</si>
  <si>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</si>
  <si>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</si>
  <si>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</si>
  <si>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</si>
  <si>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</si>
  <si>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</si>
  <si>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</si>
  <si>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</si>
  <si>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</si>
  <si>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</si>
  <si>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</si>
  <si>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</si>
  <si>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</si>
  <si>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</si>
  <si>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</si>
  <si>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</si>
  <si>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</si>
  <si>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</si>
  <si>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</si>
  <si>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</si>
  <si>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</si>
  <si>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</si>
  <si>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</si>
  <si>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</si>
  <si>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</si>
  <si>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</si>
  <si>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</si>
  <si>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</si>
  <si>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</si>
  <si>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</si>
  <si>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</si>
  <si>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</si>
  <si>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</si>
  <si>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</si>
  <si>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</si>
  <si>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</si>
  <si>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</si>
  <si>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</si>
  <si>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</si>
  <si>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</si>
  <si>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</si>
  <si>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</si>
  <si>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</si>
  <si>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</si>
  <si>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</si>
  <si>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</si>
  <si>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</si>
  <si>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</si>
  <si>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</si>
  <si>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</si>
  <si>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</si>
  <si>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</si>
  <si>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</si>
  <si>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</si>
  <si>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</si>
  <si>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</si>
  <si>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</si>
  <si>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</si>
  <si>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</si>
  <si>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</si>
  <si>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</si>
  <si>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</si>
  <si>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</si>
  <si>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</si>
  <si>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</si>
  <si>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</si>
  <si>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</si>
  <si>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</si>
  <si>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</si>
  <si>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</si>
  <si>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</si>
  <si>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</si>
  <si>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</si>
  <si>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</si>
  <si>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</si>
  <si>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</si>
  <si>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</si>
  <si>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</si>
  <si>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</si>
  <si>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</si>
  <si>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</si>
  <si>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</si>
  <si>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</si>
  <si>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</si>
  <si>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</si>
  <si>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</si>
  <si>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</si>
  <si>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</si>
  <si>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</si>
  <si>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</si>
  <si>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</si>
  <si>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</si>
  <si>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</si>
  <si>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</si>
  <si>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</si>
  <si>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</si>
  <si>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</si>
  <si>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</si>
  <si>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</si>
  <si>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</si>
  <si>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</si>
  <si>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</si>
  <si>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</si>
  <si>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</si>
  <si>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</si>
  <si>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</si>
  <si>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</si>
  <si>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</si>
  <si>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</si>
  <si>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</si>
  <si>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</si>
  <si>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</si>
  <si>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</si>
  <si>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</si>
  <si>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</si>
  <si>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</si>
  <si>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</si>
  <si>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</si>
  <si>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</si>
  <si>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</si>
  <si>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</si>
  <si>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</si>
  <si>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</si>
  <si>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</si>
  <si>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</si>
  <si>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</si>
  <si>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</si>
  <si>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</si>
  <si>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</si>
  <si>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</si>
  <si>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</si>
  <si>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</si>
  <si>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</si>
  <si>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</si>
  <si>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</si>
  <si>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</si>
  <si>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</si>
  <si>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</si>
  <si>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</si>
  <si>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</si>
  <si>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</si>
  <si>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</si>
  <si>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</si>
  <si>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</si>
  <si>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</si>
  <si>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</si>
  <si>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</si>
  <si>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</si>
  <si>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</si>
  <si>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</si>
  <si>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</si>
  <si>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</si>
  <si>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</si>
  <si>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</si>
  <si>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</si>
  <si>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</si>
  <si>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</si>
  <si>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</si>
  <si>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</si>
  <si>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</si>
  <si>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</si>
  <si>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</si>
  <si>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</si>
  <si>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</si>
  <si>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</si>
  <si>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</si>
  <si>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</si>
  <si>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</si>
  <si>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</si>
  <si>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</si>
  <si>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</si>
  <si>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</si>
  <si>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</si>
  <si>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</si>
  <si>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</si>
  <si>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</si>
  <si>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</si>
  <si>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</si>
  <si>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</si>
  <si>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</si>
  <si>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</si>
  <si>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</si>
  <si>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</si>
  <si>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</si>
  <si>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</si>
  <si>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</si>
  <si>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</si>
  <si>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</si>
  <si>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</si>
  <si>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</si>
  <si>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</si>
  <si>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</si>
  <si>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</si>
  <si>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</si>
  <si>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</si>
  <si>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</si>
  <si>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</si>
  <si>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</si>
  <si>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</si>
  <si>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</si>
  <si>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</si>
  <si>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</si>
  <si>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</si>
  <si>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</si>
  <si>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</si>
  <si>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</si>
  <si>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</si>
  <si>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</si>
  <si>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</si>
  <si>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</si>
  <si>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</si>
  <si>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</si>
  <si>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</si>
  <si>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</si>
  <si>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</si>
  <si>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</si>
  <si>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</si>
  <si>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</si>
  <si>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</si>
  <si>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</si>
  <si>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</si>
  <si>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</si>
  <si>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</si>
  <si>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</si>
  <si>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</si>
  <si>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</si>
  <si>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</si>
  <si>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</si>
  <si>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</si>
  <si>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</si>
  <si>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</si>
  <si>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</si>
  <si>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</si>
  <si>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</si>
  <si>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</si>
  <si>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</si>
  <si>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</si>
  <si>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</si>
  <si>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</si>
  <si>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</si>
  <si>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</si>
  <si>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</si>
  <si>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</si>
  <si>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</si>
  <si>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</si>
  <si>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</si>
  <si>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</si>
  <si>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</si>
  <si>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</si>
  <si>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</si>
  <si>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</si>
  <si>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</si>
  <si>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</si>
  <si>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</si>
  <si>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</si>
  <si>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</si>
  <si>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</si>
  <si>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</si>
  <si>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</si>
  <si>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</si>
  <si>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</si>
  <si>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</si>
  <si>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</si>
  <si>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</si>
  <si>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</si>
  <si>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</si>
  <si>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</si>
  <si>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</si>
  <si>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</si>
  <si>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</si>
  <si>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</si>
  <si>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</si>
  <si>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</si>
  <si>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</si>
  <si>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</si>
  <si>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</si>
  <si>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</si>
  <si>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</si>
  <si>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</si>
  <si>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</si>
  <si>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</si>
  <si>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</si>
  <si>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</si>
  <si>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</si>
  <si>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</si>
  <si>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</si>
  <si>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</si>
  <si>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</si>
  <si>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</si>
  <si>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</si>
  <si>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</si>
  <si>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</si>
  <si>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</si>
  <si>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</si>
  <si>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</si>
  <si>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</si>
  <si>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</si>
  <si>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</si>
  <si>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</si>
  <si>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</si>
  <si>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</si>
  <si>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</si>
  <si>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</si>
  <si>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</si>
  <si>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</si>
  <si>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</si>
  <si>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</si>
  <si>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</si>
  <si>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</si>
  <si>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</si>
  <si>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</si>
  <si>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</si>
  <si>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</si>
  <si>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</si>
  <si>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</si>
  <si>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</si>
  <si>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</si>
  <si>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</si>
  <si>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</si>
  <si>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</si>
  <si>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</si>
  <si>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</si>
  <si>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</si>
  <si>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</si>
  <si>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</si>
  <si>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</si>
  <si>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</si>
  <si>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</si>
  <si>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</si>
  <si>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</si>
  <si>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</si>
  <si>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</si>
  <si>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</si>
  <si>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</si>
  <si>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</si>
  <si>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</si>
  <si>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</si>
  <si>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</si>
  <si>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</si>
  <si>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</si>
  <si>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</si>
  <si>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</si>
  <si>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</si>
  <si>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</si>
  <si>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</si>
  <si>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</si>
  <si>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</si>
  <si>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</si>
  <si>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</si>
  <si>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</si>
  <si>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</si>
  <si>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</si>
  <si>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</si>
  <si>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</si>
  <si>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</si>
  <si>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</si>
  <si>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</si>
  <si>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</si>
  <si>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</si>
  <si>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</si>
  <si>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</si>
  <si>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</si>
  <si>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</si>
  <si>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</si>
  <si>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</si>
  <si>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</si>
  <si>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</si>
  <si>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</si>
  <si>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</si>
  <si>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</si>
  <si>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</si>
  <si>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</si>
  <si>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</si>
  <si>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</si>
  <si>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</si>
  <si>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</si>
  <si>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</si>
  <si>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</si>
  <si>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</si>
  <si>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</si>
  <si>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</si>
  <si>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</si>
  <si>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</si>
  <si>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</si>
  <si>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</si>
  <si>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</si>
  <si>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</si>
  <si>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</si>
  <si>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</si>
  <si>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</si>
  <si>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</si>
  <si>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</si>
  <si>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</si>
  <si>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</si>
  <si>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</si>
  <si>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</si>
  <si>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</si>
  <si>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</si>
  <si>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</si>
  <si>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</si>
  <si>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</si>
  <si>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</si>
  <si>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</si>
  <si>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</si>
  <si>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</si>
  <si>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</si>
  <si>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</si>
  <si>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</si>
  <si>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</si>
  <si>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</si>
  <si>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</si>
  <si>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</si>
  <si>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</si>
  <si>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</si>
  <si>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</si>
  <si>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</si>
  <si>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</si>
  <si>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</si>
  <si>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</si>
  <si>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</si>
  <si>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</si>
  <si>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</si>
  <si>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</si>
  <si>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</si>
  <si>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</si>
  <si>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</si>
  <si>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</si>
  <si>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</si>
  <si>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</si>
  <si>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</si>
  <si>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</si>
  <si>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</si>
  <si>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</si>
  <si>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</si>
  <si>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</si>
  <si>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</si>
  <si>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</si>
  <si>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</si>
  <si>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</si>
  <si>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</si>
  <si>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</si>
  <si>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</si>
  <si>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</si>
  <si>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</si>
  <si>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</si>
  <si>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</si>
  <si>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</si>
  <si>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</si>
  <si>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</si>
  <si>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</si>
  <si>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</si>
  <si>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</si>
  <si>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</si>
  <si>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</si>
  <si>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</si>
  <si>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</si>
  <si>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</si>
  <si>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</si>
  <si>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</si>
  <si>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</si>
  <si>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</si>
  <si>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</si>
  <si>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</si>
  <si>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</si>
  <si>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</si>
  <si>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</si>
  <si>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</si>
  <si>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</si>
  <si>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</si>
  <si>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</si>
  <si>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</si>
  <si>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</si>
  <si>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</si>
  <si>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</si>
  <si>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</si>
  <si>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</si>
  <si>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</si>
  <si>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</si>
  <si>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</si>
  <si>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</si>
  <si>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</si>
  <si>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</si>
  <si>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</si>
  <si>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</si>
  <si>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</si>
  <si>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</si>
  <si>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</si>
  <si>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</si>
  <si>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</si>
  <si>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</si>
  <si>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</si>
  <si>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</si>
  <si>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</si>
  <si>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</si>
  <si>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</si>
  <si>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</si>
  <si>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</si>
  <si>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</si>
  <si>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</si>
  <si>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</si>
  <si>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</si>
  <si>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</si>
  <si>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</si>
  <si>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</si>
  <si>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</si>
  <si>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</si>
  <si>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</si>
  <si>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</si>
  <si>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</si>
  <si>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</si>
  <si>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</si>
  <si>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</si>
  <si>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</si>
  <si>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</si>
  <si>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</si>
  <si>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</si>
  <si>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</si>
  <si>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</si>
  <si>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</si>
  <si>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</si>
  <si>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</si>
  <si>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</si>
  <si>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</si>
  <si>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</si>
  <si>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</si>
  <si>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</si>
  <si>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</si>
  <si>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</si>
  <si>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</si>
  <si>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</si>
  <si>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</si>
  <si>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</si>
  <si>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</si>
  <si>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</si>
  <si>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</si>
  <si>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</si>
  <si>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</si>
  <si>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</si>
  <si>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</si>
  <si>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</si>
  <si>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</si>
  <si>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</si>
  <si>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</si>
  <si>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</si>
  <si>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</si>
  <si>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</si>
  <si>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</si>
  <si>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</si>
  <si>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</si>
  <si>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</si>
  <si>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</si>
  <si>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</si>
  <si>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</si>
  <si>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</si>
  <si>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</si>
  <si>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</si>
  <si>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</si>
  <si>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</si>
  <si>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</si>
  <si>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</si>
  <si>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</si>
  <si>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</si>
  <si>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</si>
  <si>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</si>
  <si>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</si>
  <si>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</si>
  <si>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</si>
  <si>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</si>
  <si>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</si>
  <si>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</si>
  <si>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</si>
  <si>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</si>
  <si>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</si>
  <si>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</si>
  <si>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</si>
  <si>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</si>
  <si>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</si>
  <si>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</si>
  <si>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</si>
  <si>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</si>
  <si>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</si>
  <si>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</si>
  <si>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</si>
  <si>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</si>
  <si>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</si>
  <si>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</si>
  <si>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</si>
  <si>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</si>
  <si>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</si>
  <si>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</si>
  <si>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</si>
  <si>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</si>
  <si>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</si>
  <si>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</si>
  <si>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</si>
  <si>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</si>
  <si>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</si>
  <si>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</si>
  <si>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</si>
  <si>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</si>
  <si>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</si>
  <si>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</si>
  <si>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</si>
  <si>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</si>
  <si>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</si>
  <si>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</si>
  <si>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</si>
  <si>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</si>
  <si>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</si>
  <si>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</si>
  <si>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</si>
  <si>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</si>
  <si>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</si>
  <si>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</si>
  <si>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</si>
  <si>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</si>
  <si>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</si>
  <si>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</si>
  <si>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</si>
  <si>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</si>
  <si>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</si>
  <si>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</si>
  <si>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</si>
  <si>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</si>
  <si>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</si>
  <si>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</si>
  <si>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</si>
  <si>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</si>
  <si>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</si>
  <si>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</si>
  <si>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</si>
  <si>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</si>
  <si>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</si>
  <si>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</si>
  <si>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</si>
  <si>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</si>
  <si>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</si>
  <si>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</si>
  <si>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</si>
  <si>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</si>
  <si>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</si>
  <si>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</si>
  <si>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</si>
  <si>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</si>
  <si>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</si>
  <si>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</si>
  <si>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</si>
  <si>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</si>
  <si>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</si>
  <si>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</si>
  <si>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</si>
  <si>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</si>
  <si>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</si>
  <si>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</si>
  <si>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</si>
  <si>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</si>
  <si>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</si>
  <si>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</si>
  <si>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</si>
  <si>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</si>
  <si>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</si>
  <si>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</si>
  <si>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</si>
  <si>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</si>
  <si>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</si>
  <si>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</si>
  <si>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</si>
  <si>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</si>
  <si>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</si>
  <si>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</si>
  <si>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</si>
  <si>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</si>
  <si>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</si>
  <si>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</si>
  <si>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</si>
  <si>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</si>
  <si>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</si>
  <si>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</si>
  <si>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</si>
  <si>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</si>
  <si>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</si>
  <si>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</si>
  <si>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</si>
  <si>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</si>
  <si>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</si>
  <si>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</si>
  <si>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</si>
  <si>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</si>
  <si>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</si>
  <si>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</si>
  <si>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</si>
  <si>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</si>
  <si>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</si>
  <si>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</si>
  <si>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</si>
  <si>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</si>
  <si>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</si>
  <si>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</si>
  <si>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</si>
  <si>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</si>
  <si>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</si>
  <si>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</si>
  <si>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</si>
  <si>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</si>
  <si>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</si>
  <si>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</si>
  <si>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</si>
  <si>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</si>
  <si>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</si>
  <si>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</si>
  <si>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</si>
  <si>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</si>
  <si>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</si>
  <si>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</si>
  <si>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</si>
  <si>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</si>
  <si>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</si>
  <si>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</si>
  <si>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</si>
  <si>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</si>
  <si>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</si>
  <si>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</si>
  <si>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</si>
  <si>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</si>
  <si>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</si>
  <si>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</si>
  <si>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</si>
  <si>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</si>
  <si>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</si>
  <si>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</si>
  <si>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</si>
  <si>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</si>
  <si>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</si>
  <si>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</si>
  <si>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</si>
  <si>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</si>
  <si>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</si>
  <si>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</si>
  <si>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</si>
  <si>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</si>
  <si>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</si>
  <si>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</si>
  <si>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</si>
  <si>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</si>
  <si>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</si>
  <si>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</si>
  <si>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</si>
  <si>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</si>
  <si>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</si>
  <si>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</si>
  <si>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</si>
  <si>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</si>
  <si>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</si>
  <si>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</si>
  <si>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</si>
  <si>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</si>
  <si>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</si>
  <si>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</si>
  <si>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</si>
  <si>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</si>
  <si>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</si>
  <si>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</si>
  <si>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</si>
  <si>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</si>
  <si>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</si>
  <si>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</si>
  <si>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</si>
  <si>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</si>
  <si>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</si>
  <si>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</si>
  <si>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</si>
  <si>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</si>
  <si>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</si>
  <si>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</si>
  <si>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</si>
  <si>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</si>
  <si>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</si>
  <si>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</si>
  <si>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</si>
  <si>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</si>
  <si>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</si>
  <si>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</si>
  <si>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</si>
  <si>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</si>
  <si>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</si>
  <si>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</si>
  <si>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</si>
  <si>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</si>
  <si>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</si>
  <si>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</si>
  <si>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</si>
  <si>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</si>
  <si>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</si>
  <si>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</si>
  <si>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</si>
  <si>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</si>
  <si>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</si>
  <si>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</si>
  <si>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</si>
  <si>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</si>
  <si>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</si>
  <si>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</si>
  <si>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</si>
  <si>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</si>
  <si>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</si>
  <si>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</si>
  <si>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</si>
  <si>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</si>
  <si>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</si>
  <si>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</si>
  <si>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</si>
  <si>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</si>
  <si>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</si>
  <si>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</si>
  <si>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</si>
  <si>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</si>
  <si>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</si>
  <si>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</si>
  <si>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</si>
  <si>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</si>
  <si>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</si>
  <si>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</si>
  <si>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</si>
  <si>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</si>
  <si>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</si>
  <si>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</si>
  <si>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</si>
  <si>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</si>
  <si>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</si>
  <si>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</si>
  <si>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</si>
  <si>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</si>
  <si>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</si>
  <si>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</si>
  <si>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</si>
  <si>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</si>
  <si>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</si>
  <si>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</si>
  <si>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</si>
  <si>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</si>
  <si>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</si>
  <si>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</si>
  <si>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</si>
  <si>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</si>
  <si>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</si>
  <si>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</si>
  <si>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</si>
  <si>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</si>
  <si>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</si>
  <si>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</si>
  <si>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</si>
  <si>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</si>
  <si>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</si>
  <si>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</si>
  <si>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</si>
  <si>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</si>
  <si>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</si>
  <si>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</si>
  <si>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</si>
  <si>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</si>
  <si>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</si>
  <si>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</si>
  <si>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</si>
  <si>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</si>
  <si>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</si>
  <si>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</si>
  <si>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</si>
  <si>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</si>
  <si>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</si>
  <si>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</si>
  <si>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</si>
  <si>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</si>
  <si>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</si>
  <si>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</si>
  <si>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</si>
  <si>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</si>
  <si>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</si>
  <si>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</si>
  <si>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</si>
  <si>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</si>
  <si>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</si>
  <si>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</si>
  <si>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</si>
  <si>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</si>
  <si>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</si>
  <si>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</si>
  <si>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</si>
  <si>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</si>
  <si>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</si>
  <si>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</si>
  <si>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</si>
  <si>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</si>
  <si>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</si>
  <si>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</si>
  <si>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</si>
  <si>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</si>
  <si>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</si>
  <si>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</si>
  <si>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</si>
  <si>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</si>
  <si>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</si>
  <si>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</si>
  <si>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</si>
  <si>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</si>
  <si>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</si>
  <si>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</si>
  <si>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</si>
  <si>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</si>
  <si>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</si>
  <si>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</si>
  <si>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</si>
  <si>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</si>
  <si>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</si>
  <si>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</si>
  <si>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</si>
  <si>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</si>
  <si>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</si>
  <si>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</si>
  <si>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</si>
  <si>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</si>
  <si>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</si>
  <si>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</si>
  <si>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</si>
  <si>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</si>
  <si>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</si>
  <si>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</si>
  <si>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</si>
  <si>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</si>
  <si>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</si>
  <si>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</si>
  <si>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</si>
  <si>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</si>
  <si>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</si>
  <si>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</si>
  <si>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</si>
  <si>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</si>
  <si>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</si>
  <si>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</si>
  <si>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</si>
  <si>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</si>
  <si>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</si>
  <si>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</si>
  <si>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</si>
  <si>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</si>
  <si>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</si>
  <si>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</si>
  <si>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</si>
  <si>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</si>
  <si>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</si>
  <si>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</si>
  <si>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</si>
  <si>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</si>
  <si>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</si>
  <si>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</si>
  <si>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</si>
  <si>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</si>
  <si>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</si>
  <si>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</si>
  <si>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</si>
  <si>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</si>
  <si>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</si>
  <si>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</si>
  <si>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</si>
  <si>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</si>
  <si>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</si>
  <si>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</si>
  <si>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</si>
  <si>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</si>
  <si>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</si>
  <si>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</si>
  <si>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</si>
  <si>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</si>
  <si>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</si>
  <si>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</si>
  <si>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</si>
  <si>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</si>
  <si>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</si>
  <si>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</si>
  <si>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</si>
  <si>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</si>
  <si>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</si>
  <si>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</si>
  <si>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</si>
  <si>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</si>
  <si>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</si>
  <si>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</si>
  <si>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</si>
  <si>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</si>
  <si>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</si>
  <si>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</si>
  <si>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</si>
  <si>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</si>
  <si>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</si>
  <si>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</si>
  <si>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</si>
  <si>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</si>
  <si>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</si>
  <si>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</si>
  <si>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</si>
  <si>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</si>
  <si>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</si>
  <si>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</si>
  <si>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</si>
  <si>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</si>
  <si>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</si>
  <si>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</si>
  <si>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</si>
  <si>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</si>
  <si>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</si>
  <si>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</si>
  <si>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</si>
  <si>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</si>
  <si>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</si>
  <si>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</si>
  <si>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</si>
  <si>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</si>
  <si>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</si>
  <si>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</si>
  <si>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</si>
  <si>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</si>
  <si>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</si>
  <si>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</si>
  <si>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</si>
  <si>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</si>
  <si>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</si>
  <si>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</si>
  <si>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</si>
  <si>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</si>
  <si>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</si>
  <si>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</si>
  <si>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</si>
  <si>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</si>
  <si>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</si>
  <si>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</si>
  <si>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</si>
  <si>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</si>
  <si>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</si>
  <si>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</si>
  <si>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</si>
  <si>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</si>
  <si>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</si>
  <si>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</si>
  <si>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</si>
  <si>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</si>
  <si>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</si>
  <si>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</si>
  <si>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</si>
  <si>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</si>
  <si>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</si>
  <si>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</si>
  <si>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</si>
  <si>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</si>
  <si>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</si>
  <si>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</si>
  <si>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</si>
  <si>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</si>
  <si>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</si>
  <si>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</si>
  <si>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</si>
  <si>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</si>
  <si>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</si>
  <si>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</si>
  <si>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</si>
  <si>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</si>
  <si>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</si>
  <si>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</si>
  <si>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</si>
  <si>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</si>
  <si>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</si>
  <si>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</si>
  <si>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</si>
  <si>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</si>
  <si>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</si>
  <si>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</si>
  <si>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</si>
  <si>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</si>
  <si>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</si>
  <si>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</si>
  <si>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</si>
  <si>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</si>
  <si>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</si>
  <si>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</si>
  <si>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</si>
  <si>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</si>
  <si>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</si>
  <si>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</si>
  <si>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</si>
  <si>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</si>
  <si>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</si>
  <si>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</si>
  <si>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</si>
  <si>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</si>
  <si>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</si>
  <si>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</si>
  <si>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</si>
  <si>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</si>
  <si>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</si>
  <si>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</si>
  <si>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</si>
  <si>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</si>
  <si>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</si>
  <si>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</si>
  <si>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</si>
  <si>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</si>
  <si>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</si>
  <si>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</si>
  <si>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</si>
  <si>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</si>
  <si>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</si>
  <si>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</si>
  <si>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</si>
  <si>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</si>
  <si>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</si>
  <si>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</si>
  <si>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</si>
  <si>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</si>
  <si>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</si>
  <si>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</si>
  <si>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</si>
  <si>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</si>
  <si>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</si>
  <si>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</si>
  <si>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</si>
  <si>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</si>
  <si>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</si>
  <si>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</si>
  <si>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</si>
  <si>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</si>
  <si>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</si>
  <si>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</si>
  <si>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</si>
  <si>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</si>
  <si>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</si>
  <si>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</si>
  <si>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</si>
  <si>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</si>
  <si>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</si>
  <si>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</si>
  <si>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</si>
  <si>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</si>
  <si>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</si>
  <si>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</si>
  <si>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</si>
  <si>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</si>
  <si>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</si>
  <si>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</si>
  <si>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</si>
  <si>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</si>
  <si>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</si>
  <si>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</si>
  <si>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</si>
  <si>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</si>
  <si>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</si>
  <si>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</si>
  <si>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</si>
  <si>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</si>
  <si>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</si>
  <si>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</si>
  <si>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</si>
  <si>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</si>
  <si>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</si>
  <si>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</si>
  <si>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</si>
  <si>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</si>
  <si>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</si>
  <si>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</si>
  <si>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</si>
  <si>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</si>
  <si>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</si>
  <si>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</si>
  <si>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</si>
  <si>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</si>
  <si>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</si>
  <si>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</si>
  <si>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</si>
  <si>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</si>
  <si>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</si>
  <si>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</si>
  <si>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</si>
  <si>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</si>
  <si>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</si>
  <si>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</si>
  <si>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</si>
  <si>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</si>
  <si>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</si>
  <si>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</si>
  <si>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</si>
  <si>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</si>
  <si>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</si>
  <si>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</si>
  <si>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</si>
  <si>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</si>
  <si>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</si>
  <si>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</si>
  <si>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</si>
  <si>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</si>
  <si>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</si>
  <si>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</si>
  <si>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</si>
  <si>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</si>
  <si>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</si>
  <si>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</si>
  <si>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</si>
  <si>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</si>
  <si>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</si>
  <si>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</si>
  <si>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</si>
  <si>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</si>
  <si>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</si>
  <si>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</si>
  <si>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</si>
  <si>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</si>
  <si>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</si>
  <si>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</si>
  <si>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</si>
  <si>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</si>
  <si>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</si>
  <si>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</si>
  <si>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</si>
  <si>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</si>
  <si>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</si>
  <si>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</si>
  <si>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</si>
  <si>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</si>
  <si>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</si>
  <si>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</si>
  <si>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</si>
  <si>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</si>
  <si>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</si>
  <si>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</si>
  <si>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</si>
  <si>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</si>
  <si>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</si>
  <si>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</si>
  <si>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</si>
  <si>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</si>
  <si>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</si>
  <si>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</si>
  <si>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</si>
  <si>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</si>
  <si>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</si>
  <si>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</si>
  <si>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</si>
  <si>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</si>
  <si>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</si>
  <si>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</si>
  <si>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</si>
  <si>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</si>
  <si>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</si>
  <si>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</si>
  <si>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</si>
  <si>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</si>
  <si>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</si>
  <si>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</si>
  <si>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</si>
  <si>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</si>
  <si>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</si>
  <si>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</si>
  <si>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</si>
  <si>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</si>
  <si>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</si>
  <si>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</si>
  <si>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</si>
  <si>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</si>
  <si>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</si>
  <si>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</si>
  <si>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</si>
  <si>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</si>
  <si>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</si>
  <si>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</si>
  <si>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</si>
  <si>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</si>
  <si>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</si>
  <si>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</si>
  <si>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</si>
  <si>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</si>
  <si>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</si>
  <si>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</si>
  <si>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</si>
  <si>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</si>
  <si>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</si>
  <si>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</si>
  <si>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</si>
  <si>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</si>
  <si>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</si>
  <si>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</si>
  <si>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</si>
  <si>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</si>
  <si>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</si>
  <si>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</si>
  <si>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</si>
  <si>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</si>
  <si>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</si>
  <si>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</si>
  <si>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</si>
  <si>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</si>
  <si>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</si>
  <si>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</si>
  <si>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</si>
  <si>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</si>
  <si>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</si>
  <si>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</si>
  <si>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</si>
  <si>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</si>
  <si>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</si>
  <si>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</si>
  <si>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</si>
  <si>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</si>
  <si>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</si>
  <si>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</si>
  <si>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</si>
  <si>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</si>
  <si>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</si>
  <si>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</si>
  <si>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</si>
  <si>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</si>
  <si>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</si>
  <si>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</si>
  <si>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</si>
  <si>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</si>
  <si>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</si>
  <si>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</si>
  <si>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</si>
  <si>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</si>
  <si>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</si>
  <si>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</si>
  <si>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</si>
  <si>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</si>
  <si>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</si>
  <si>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</si>
  <si>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</si>
  <si>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</si>
  <si>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</si>
  <si>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</si>
  <si>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</si>
  <si>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</si>
  <si>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</si>
  <si>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</si>
  <si>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</si>
  <si>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</si>
  <si>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</si>
  <si>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</si>
  <si>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</si>
  <si>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</si>
  <si>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</si>
  <si>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</si>
  <si>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</si>
  <si>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</si>
  <si>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</si>
  <si>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</si>
  <si>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</si>
  <si>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</si>
  <si>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</si>
  <si>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</si>
  <si>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</si>
  <si>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</si>
  <si>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</si>
  <si>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</si>
  <si>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</si>
  <si>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</si>
  <si>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</si>
  <si>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</si>
  <si>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</si>
  <si>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</si>
  <si>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</si>
  <si>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</si>
  <si>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</si>
  <si>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</si>
  <si>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</si>
  <si>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</si>
  <si>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</si>
  <si>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</si>
  <si>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</si>
  <si>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</si>
  <si>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</si>
  <si>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</si>
  <si>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</si>
  <si>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</si>
  <si>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</si>
  <si>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</si>
  <si>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</si>
  <si>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</si>
  <si>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</si>
  <si>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</si>
  <si>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</si>
  <si>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</si>
  <si>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</si>
  <si>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</si>
  <si>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</si>
  <si>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</si>
  <si>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</si>
  <si>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</si>
  <si>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</si>
  <si>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</si>
  <si>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</si>
  <si>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</si>
  <si>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</si>
  <si>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</si>
  <si>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</si>
  <si>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</si>
  <si>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</si>
  <si>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</si>
  <si>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</si>
  <si>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</si>
  <si>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</si>
  <si>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</si>
  <si>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</si>
  <si>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</si>
  <si>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</si>
  <si>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</si>
  <si>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</si>
  <si>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</si>
  <si>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</si>
  <si>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</si>
  <si>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</si>
  <si>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</si>
  <si>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</si>
  <si>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</si>
  <si>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</si>
  <si>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</si>
  <si>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</si>
  <si>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</si>
  <si>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</si>
  <si>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</si>
  <si>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</si>
  <si>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</si>
  <si>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</si>
  <si>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</si>
  <si>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</si>
  <si>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</si>
  <si>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</si>
  <si>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</si>
  <si>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</si>
  <si>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</si>
  <si>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</si>
  <si>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</si>
  <si>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</si>
  <si>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</si>
  <si>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</si>
  <si>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</si>
  <si>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</si>
  <si>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</si>
  <si>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</si>
  <si>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</si>
  <si>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</si>
  <si>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</si>
  <si>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</si>
  <si>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</si>
  <si>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</si>
  <si>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</si>
  <si>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</si>
  <si>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</si>
  <si>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</si>
  <si>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</si>
  <si>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</si>
  <si>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</si>
  <si>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</si>
  <si>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</si>
  <si>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</si>
  <si>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</si>
  <si>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</si>
  <si>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</si>
  <si>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</si>
  <si>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</si>
  <si>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</si>
  <si>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</si>
  <si>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</si>
  <si>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</si>
  <si>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</si>
  <si>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</si>
  <si>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</si>
  <si>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</si>
  <si>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</si>
  <si>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</si>
  <si>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</si>
  <si>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</si>
  <si>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</si>
  <si>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</si>
  <si>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</si>
  <si>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</si>
  <si>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</si>
  <si>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</si>
  <si>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</si>
  <si>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</si>
  <si>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</si>
  <si>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</si>
  <si>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</si>
  <si>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</si>
  <si>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</si>
  <si>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</si>
  <si>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</si>
  <si>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</si>
  <si>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</si>
  <si>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</si>
  <si>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</si>
  <si>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</si>
  <si>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</si>
  <si>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</si>
  <si>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</si>
  <si>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</si>
  <si>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</si>
  <si>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</si>
  <si>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</si>
  <si>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</si>
  <si>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</si>
  <si>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</si>
  <si>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</si>
  <si>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</si>
  <si>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</si>
  <si>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</si>
  <si>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</si>
  <si>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</si>
  <si>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</si>
  <si>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</si>
  <si>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</si>
  <si>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</si>
  <si>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</si>
  <si>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</si>
  <si>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</si>
  <si>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</si>
  <si>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</si>
  <si>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</si>
  <si>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</si>
  <si>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</si>
  <si>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</si>
  <si>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</si>
  <si>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</si>
  <si>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</si>
  <si>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</si>
  <si>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</si>
  <si>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</si>
  <si>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</si>
  <si>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</si>
  <si>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</si>
  <si>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</si>
  <si>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</si>
  <si>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</si>
  <si>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</si>
  <si>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</si>
  <si>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</si>
  <si>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</si>
  <si>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</si>
  <si>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</si>
  <si>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</si>
  <si>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</si>
  <si>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</si>
  <si>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</si>
  <si>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</si>
  <si>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</si>
  <si>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</si>
  <si>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</si>
  <si>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</si>
  <si>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</si>
  <si>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</si>
  <si>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</si>
  <si>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</si>
  <si>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</si>
  <si>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</si>
  <si>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</si>
  <si>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</si>
  <si>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</si>
  <si>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</si>
  <si>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</si>
  <si>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</si>
  <si>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</si>
  <si>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</si>
  <si>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</si>
  <si>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</si>
  <si>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</si>
  <si>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</si>
  <si>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</si>
  <si>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</si>
  <si>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</si>
  <si>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</si>
  <si>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</si>
  <si>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</si>
  <si>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</si>
  <si>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</si>
  <si>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</si>
  <si>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</si>
  <si>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</si>
  <si>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</si>
  <si>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</si>
  <si>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</si>
  <si>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</si>
  <si>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</si>
  <si>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</si>
  <si>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</si>
  <si>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</si>
  <si>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</si>
  <si>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</si>
  <si>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</si>
  <si>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</si>
  <si>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</si>
  <si>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</si>
  <si>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</si>
  <si>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</si>
  <si>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</si>
  <si>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</si>
  <si>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</si>
  <si>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</si>
  <si>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</si>
  <si>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</si>
  <si>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</si>
  <si>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</si>
  <si>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</si>
  <si>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</si>
  <si>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</si>
  <si>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</si>
  <si>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</si>
  <si>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</si>
  <si>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</si>
  <si>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</si>
  <si>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</si>
  <si>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</si>
  <si>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</si>
  <si>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</si>
  <si>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</si>
  <si>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</si>
  <si>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</si>
  <si>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</si>
  <si>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</si>
  <si>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</si>
  <si>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</si>
  <si>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</si>
  <si>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</si>
  <si>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</si>
  <si>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</si>
  <si>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</si>
  <si>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</si>
  <si>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</si>
  <si>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</si>
  <si>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</si>
  <si>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</si>
  <si>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</si>
  <si>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</si>
  <si>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</si>
  <si>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</si>
  <si>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</si>
  <si>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</si>
  <si>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</si>
  <si>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</si>
  <si>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</si>
  <si>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</si>
  <si>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</si>
  <si>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</si>
  <si>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</si>
  <si>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</si>
  <si>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</si>
  <si>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</si>
  <si>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</si>
  <si>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</si>
  <si>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</si>
  <si>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</si>
  <si>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</si>
  <si>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</si>
  <si>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</si>
  <si>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</si>
  <si>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</si>
  <si>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</si>
  <si>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</si>
  <si>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</si>
  <si>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</si>
  <si>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</si>
  <si>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</si>
  <si>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</si>
  <si>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</si>
  <si>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</si>
  <si>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</si>
  <si>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</si>
  <si>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</si>
  <si>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</si>
  <si>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</si>
  <si>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</si>
  <si>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</si>
  <si>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</si>
  <si>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</si>
  <si>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</si>
  <si>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</si>
  <si>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</si>
  <si>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</si>
  <si>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</si>
  <si>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</si>
  <si>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</si>
  <si>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</si>
  <si>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</si>
  <si>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</si>
  <si>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</si>
  <si>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</si>
  <si>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</si>
  <si>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</si>
  <si>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</si>
  <si>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</si>
  <si>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</si>
  <si>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</si>
  <si>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</si>
  <si>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</si>
  <si>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</si>
  <si>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</si>
  <si>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</si>
  <si>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</si>
  <si>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</si>
  <si>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</si>
  <si>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</si>
  <si>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</si>
  <si>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</si>
  <si>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</si>
  <si>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</si>
  <si>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</si>
  <si>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</si>
  <si>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</si>
  <si>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</si>
  <si>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</si>
  <si>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</si>
  <si>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</si>
  <si>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</si>
  <si>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</si>
  <si>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</si>
  <si>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</si>
  <si>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</si>
  <si>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</si>
  <si>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</si>
  <si>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</si>
  <si>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</si>
  <si>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</si>
  <si>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</si>
  <si>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</si>
  <si>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</si>
  <si>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</si>
  <si>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</si>
  <si>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</si>
  <si>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</si>
  <si>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</si>
  <si>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</si>
  <si>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</si>
  <si>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</si>
  <si>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</si>
  <si>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</si>
  <si>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</si>
  <si>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</si>
  <si>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</si>
  <si>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</si>
  <si>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</si>
  <si>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</si>
  <si>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</si>
  <si>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</si>
  <si>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</si>
  <si>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</si>
  <si>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</si>
  <si>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</si>
  <si>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</si>
  <si>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</si>
  <si>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</si>
  <si>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</si>
  <si>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</si>
  <si>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</si>
  <si>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</si>
  <si>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</si>
  <si>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</si>
  <si>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</si>
  <si>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</si>
  <si>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</si>
  <si>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</si>
  <si>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</si>
  <si>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</si>
  <si>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</si>
  <si>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</si>
  <si>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</si>
  <si>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</si>
  <si>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</si>
  <si>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</si>
  <si>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</si>
  <si>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</si>
  <si>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</si>
  <si>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</si>
  <si>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</si>
  <si>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</si>
  <si>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</si>
  <si>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</si>
  <si>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</si>
  <si>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</si>
  <si>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</si>
  <si>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</si>
  <si>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</si>
  <si>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</si>
  <si>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</si>
  <si>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</si>
  <si>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</si>
  <si>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</si>
  <si>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</si>
  <si>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</si>
  <si>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</si>
  <si>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</si>
  <si>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</si>
  <si>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</si>
  <si>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</si>
  <si>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</si>
  <si>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</si>
  <si>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</si>
  <si>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</si>
  <si>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</si>
  <si>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</si>
  <si>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</si>
  <si>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</si>
  <si>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</si>
  <si>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</si>
  <si>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</si>
  <si>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</si>
  <si>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</si>
  <si>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</si>
  <si>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</si>
  <si>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</si>
  <si>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</si>
  <si>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</si>
  <si>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</si>
  <si>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</si>
  <si>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</si>
  <si>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</si>
  <si>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</si>
  <si>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</si>
  <si>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</si>
  <si>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</si>
  <si>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</si>
  <si>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</si>
  <si>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</si>
  <si>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</si>
  <si>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</si>
  <si>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</si>
  <si>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</si>
  <si>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</si>
  <si>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</si>
  <si>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</si>
  <si>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</si>
  <si>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</si>
  <si>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</si>
  <si>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</si>
  <si>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</si>
  <si>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</si>
  <si>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</si>
  <si>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</si>
  <si>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</si>
  <si>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</si>
  <si>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</si>
  <si>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</si>
  <si>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</si>
  <si>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</si>
  <si>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</si>
  <si>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</si>
  <si>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</si>
  <si>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</si>
  <si>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</si>
  <si>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</si>
  <si>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</si>
  <si>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</si>
  <si>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</si>
  <si>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</si>
  <si>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</si>
  <si>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</si>
  <si>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</si>
  <si>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</si>
  <si>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</si>
  <si>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</si>
  <si>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</si>
  <si>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</si>
  <si>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</si>
  <si>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</si>
  <si>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</si>
  <si>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</si>
  <si>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</si>
  <si>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</si>
  <si>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</si>
  <si>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</si>
  <si>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</si>
  <si>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</si>
  <si>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</si>
  <si>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</si>
  <si>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</si>
  <si>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</si>
  <si>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</si>
  <si>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</si>
  <si>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</si>
  <si>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</si>
  <si>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</si>
  <si>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</si>
  <si>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</si>
  <si>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</si>
  <si>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</si>
  <si>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</si>
  <si>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</si>
  <si>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</si>
  <si>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</si>
  <si>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</si>
  <si>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</si>
  <si>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</si>
  <si>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</si>
  <si>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</si>
  <si>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</si>
  <si>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</si>
  <si>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</si>
  <si>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</si>
  <si>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</si>
  <si>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</si>
  <si>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</si>
  <si>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</si>
  <si>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</si>
  <si>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</si>
  <si>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</si>
  <si>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</si>
  <si>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</si>
  <si>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</si>
  <si>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</si>
  <si>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</si>
  <si>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</si>
  <si>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</si>
  <si>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</si>
  <si>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</si>
  <si>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</si>
  <si>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</si>
  <si>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</si>
  <si>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</si>
  <si>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</si>
  <si>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</si>
  <si>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</si>
  <si>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</si>
  <si>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</si>
  <si>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</si>
  <si>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</si>
  <si>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</si>
  <si>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</si>
  <si>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</si>
  <si>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</si>
  <si>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</si>
  <si>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</si>
  <si>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</si>
  <si>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</si>
  <si>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</si>
  <si>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</si>
  <si>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</si>
  <si>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</si>
  <si>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</si>
  <si>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</si>
  <si>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</si>
  <si>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</si>
  <si>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</si>
  <si>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</si>
  <si>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</si>
  <si>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</si>
  <si>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</si>
  <si>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</si>
  <si>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</si>
  <si>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</si>
  <si>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</si>
  <si>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</si>
  <si>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</si>
  <si>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</si>
  <si>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</si>
  <si>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</si>
  <si>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</si>
  <si>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</si>
  <si>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</si>
  <si>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</si>
  <si>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</si>
  <si>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</si>
  <si>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</si>
  <si>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</si>
  <si>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</si>
  <si>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</si>
  <si>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</si>
  <si>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</si>
  <si>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</si>
  <si>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</si>
  <si>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</si>
  <si>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</si>
  <si>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</si>
  <si>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</si>
  <si>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</si>
  <si>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</si>
  <si>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</si>
  <si>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</si>
  <si>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</si>
  <si>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</si>
  <si>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</si>
  <si>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</si>
  <si>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</si>
  <si>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</si>
  <si>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</si>
  <si>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</si>
  <si>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</si>
  <si>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</si>
  <si>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</si>
  <si>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</si>
  <si>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</si>
  <si>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</si>
  <si>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</si>
  <si>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</si>
  <si>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</si>
  <si>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</si>
  <si>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</si>
  <si>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</si>
  <si>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</si>
  <si>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</si>
  <si>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</si>
  <si>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</si>
  <si>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</si>
  <si>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</si>
  <si>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</si>
  <si>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</si>
  <si>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</si>
  <si>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</si>
  <si>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</si>
  <si>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</si>
  <si>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</si>
  <si>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</si>
  <si>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</si>
  <si>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</si>
  <si>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</si>
  <si>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</si>
  <si>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</si>
  <si>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</si>
  <si>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</si>
  <si>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</si>
  <si>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</si>
  <si>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</si>
  <si>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</si>
  <si>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</si>
  <si>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</si>
  <si>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</si>
  <si>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</si>
  <si>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</si>
  <si>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</si>
  <si>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</si>
  <si>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</si>
  <si>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</si>
  <si>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</si>
  <si>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</si>
  <si>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</si>
  <si>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</si>
  <si>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</si>
  <si>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</si>
  <si>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</si>
  <si>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</si>
  <si>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</si>
  <si>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</si>
  <si>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</si>
  <si>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</si>
  <si>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</si>
  <si>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</si>
  <si>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</si>
  <si>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</si>
  <si>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</si>
  <si>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</si>
  <si>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</si>
  <si>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</si>
  <si>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</si>
  <si>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</si>
  <si>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</si>
  <si>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</si>
  <si>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</si>
  <si>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</si>
  <si>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</si>
  <si>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</si>
  <si>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</si>
  <si>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</si>
  <si>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</si>
  <si>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</si>
  <si>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</si>
  <si>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</si>
  <si>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</si>
  <si>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</si>
  <si>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</si>
  <si>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</si>
  <si>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</si>
  <si>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</si>
  <si>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</si>
  <si>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</si>
  <si>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</si>
  <si>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</si>
  <si>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</si>
  <si>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</si>
  <si>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</si>
  <si>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</si>
  <si>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</si>
  <si>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</si>
  <si>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</si>
  <si>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</si>
  <si>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</si>
  <si>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</si>
  <si>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</si>
  <si>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</si>
  <si>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</si>
  <si>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</si>
  <si>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</si>
  <si>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</si>
  <si>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</si>
  <si>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</si>
  <si>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</si>
  <si>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</si>
  <si>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</si>
  <si>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</si>
  <si>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</si>
  <si>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</si>
  <si>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</si>
  <si>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</si>
  <si>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</si>
  <si>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</si>
  <si>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</si>
  <si>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</si>
  <si>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</si>
  <si>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</si>
  <si>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</si>
  <si>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</si>
  <si>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</si>
  <si>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</si>
  <si>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</si>
  <si>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</si>
  <si>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</si>
  <si>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</si>
  <si>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</si>
  <si>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</si>
  <si>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</si>
  <si>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</si>
  <si>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</si>
  <si>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</si>
  <si>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</si>
  <si>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</si>
  <si>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</si>
  <si>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</si>
  <si>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</si>
  <si>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</si>
  <si>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</si>
  <si>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</si>
  <si>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</si>
  <si>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</si>
  <si>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</si>
  <si>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</si>
  <si>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</si>
  <si>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</si>
  <si>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</si>
  <si>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</si>
  <si>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</si>
  <si>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</si>
  <si>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</si>
  <si>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</si>
  <si>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</si>
  <si>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</si>
  <si>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</si>
  <si>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</si>
  <si>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</si>
  <si>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</si>
  <si>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</si>
  <si>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</si>
  <si>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</si>
  <si>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</si>
  <si>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</si>
  <si>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</si>
  <si>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</si>
  <si>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</si>
  <si>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</si>
  <si>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</si>
  <si>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</si>
  <si>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</si>
  <si>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</si>
  <si>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</si>
  <si>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</si>
  <si>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</si>
  <si>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</si>
  <si>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</si>
  <si>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</si>
  <si>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</si>
  <si>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</si>
  <si>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</si>
  <si>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</si>
  <si>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</si>
  <si>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</si>
  <si>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</si>
  <si>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</si>
  <si>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</si>
  <si>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</si>
  <si>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</si>
  <si>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</si>
  <si>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</si>
  <si>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</si>
  <si>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</si>
  <si>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</si>
  <si>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</si>
  <si>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</si>
  <si>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</si>
  <si>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</si>
  <si>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</si>
  <si>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</si>
  <si>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</si>
  <si>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</si>
  <si>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</si>
  <si>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</si>
  <si>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</si>
  <si>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</si>
  <si>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</si>
  <si>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</si>
  <si>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</si>
  <si>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</si>
  <si>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</si>
  <si>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</si>
  <si>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</si>
  <si>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</si>
  <si>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</si>
  <si>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</si>
  <si>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</si>
  <si>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</si>
  <si>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</si>
  <si>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</si>
  <si>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</si>
  <si>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</si>
  <si>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</si>
  <si>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</si>
  <si>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</si>
  <si>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</si>
  <si>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</si>
  <si>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</si>
  <si>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</si>
  <si>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</si>
  <si>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</si>
  <si>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</si>
  <si>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</si>
  <si>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</si>
  <si>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</si>
  <si>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</si>
  <si>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</si>
  <si>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</si>
  <si>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</si>
  <si>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</si>
  <si>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</si>
  <si>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</si>
  <si>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</si>
  <si>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</si>
  <si>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</si>
  <si>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</si>
  <si>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</si>
  <si>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</si>
  <si>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</si>
  <si>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</si>
  <si>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</si>
  <si>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</si>
  <si>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</si>
  <si>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</si>
  <si>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</si>
  <si>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</si>
  <si>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</si>
  <si>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</si>
  <si>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</si>
  <si>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</si>
  <si>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</si>
  <si>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</si>
  <si>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</si>
  <si>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</si>
  <si>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</si>
  <si>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</si>
  <si>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</si>
  <si>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</si>
  <si>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</si>
  <si>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</si>
  <si>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</si>
  <si>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</si>
  <si>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</si>
  <si>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</si>
  <si>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</si>
  <si>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</si>
  <si>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</si>
  <si>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</si>
  <si>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</si>
  <si>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</si>
  <si>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</si>
  <si>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</si>
  <si>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</si>
  <si>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</si>
  <si>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</si>
  <si>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</si>
  <si>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</si>
  <si>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</si>
  <si>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</si>
  <si>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</si>
  <si>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</si>
  <si>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</si>
  <si>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</si>
  <si>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</si>
  <si>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</si>
  <si>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</si>
  <si>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</si>
  <si>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</si>
  <si>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</si>
  <si>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</si>
  <si>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</si>
  <si>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</si>
  <si>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</si>
  <si>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</si>
  <si>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</si>
  <si>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</si>
  <si>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</si>
  <si>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</si>
  <si>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</si>
  <si>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</si>
  <si>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</si>
  <si>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</si>
  <si>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</si>
  <si>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</si>
  <si>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</si>
  <si>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</si>
  <si>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</si>
  <si>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</si>
  <si>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</si>
  <si>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</si>
  <si>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</si>
  <si>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</si>
  <si>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</si>
  <si>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</si>
  <si>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</si>
  <si>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</si>
  <si>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</si>
  <si>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</si>
  <si>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</si>
  <si>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</si>
  <si>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</si>
  <si>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</si>
  <si>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</si>
  <si>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</si>
  <si>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</si>
  <si>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</si>
  <si>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</si>
  <si>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</si>
  <si>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</si>
  <si>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</si>
  <si>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</si>
  <si>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</si>
  <si>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</si>
  <si>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</si>
  <si>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</si>
  <si>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</si>
  <si>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</si>
  <si>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</si>
  <si>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</si>
  <si>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</si>
  <si>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</si>
  <si>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</si>
  <si>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</si>
  <si>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</si>
  <si>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</si>
  <si>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</si>
  <si>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</si>
  <si>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</si>
  <si>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</si>
  <si>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</si>
  <si>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</si>
  <si>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</si>
  <si>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</si>
  <si>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</si>
  <si>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</si>
  <si>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</si>
  <si>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</si>
  <si>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</si>
  <si>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</si>
  <si>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</si>
  <si>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</si>
  <si>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</si>
  <si>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</si>
  <si>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</si>
  <si>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</si>
  <si>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</si>
  <si>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</si>
  <si>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</si>
  <si>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</si>
  <si>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</si>
  <si>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</si>
  <si>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</si>
  <si>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</si>
  <si>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</si>
  <si>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</si>
  <si>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</si>
  <si>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</si>
  <si>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</si>
  <si>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</si>
  <si>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</si>
  <si>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</si>
  <si>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</si>
  <si>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</si>
  <si>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</si>
  <si>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</si>
  <si>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</si>
  <si>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</si>
  <si>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</si>
  <si>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</si>
  <si>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</si>
  <si>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</si>
  <si>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</si>
  <si>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</si>
  <si>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</si>
  <si>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</si>
  <si>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</si>
  <si>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</si>
  <si>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</si>
  <si>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</si>
  <si>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</si>
  <si>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</si>
  <si>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</si>
  <si>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</si>
  <si>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</si>
  <si>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</si>
  <si>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</si>
  <si>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</si>
  <si>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</si>
  <si>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</si>
  <si>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</si>
  <si>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</si>
  <si>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</si>
  <si>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</si>
  <si>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</si>
  <si>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</si>
  <si>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</si>
  <si>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</si>
  <si>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</si>
  <si>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</si>
  <si>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</si>
  <si>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</si>
  <si>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</si>
  <si>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</si>
  <si>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</si>
  <si>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</si>
  <si>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</si>
  <si>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</si>
  <si>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</si>
  <si>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</si>
  <si>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</si>
  <si>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</si>
  <si>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</si>
  <si>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</si>
  <si>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</si>
  <si>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</si>
  <si>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</si>
  <si>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</si>
  <si>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</si>
  <si>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</si>
  <si>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</si>
  <si>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</si>
  <si>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</si>
  <si>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</si>
  <si>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</si>
  <si>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</si>
  <si>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</si>
  <si>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</si>
  <si>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</si>
  <si>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</si>
  <si>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</si>
  <si>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</si>
  <si>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</si>
  <si>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</si>
  <si>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</si>
  <si>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</si>
  <si>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</si>
  <si>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</si>
  <si>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</si>
  <si>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</si>
  <si>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</si>
  <si>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</si>
  <si>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</si>
  <si>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</si>
  <si>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</si>
  <si>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</si>
  <si>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</si>
  <si>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</si>
  <si>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</si>
  <si>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</si>
  <si>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</si>
  <si>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</si>
  <si>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</si>
  <si>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</si>
  <si>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</si>
  <si>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</si>
  <si>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</si>
  <si>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</si>
  <si>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</si>
  <si>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</si>
  <si>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</si>
  <si>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</si>
  <si>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</si>
  <si>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</si>
  <si>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</si>
  <si>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</si>
  <si>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</si>
  <si>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</si>
  <si>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</si>
  <si>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</si>
  <si>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</si>
  <si>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</si>
  <si>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</si>
  <si>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</si>
  <si>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</si>
  <si>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</si>
  <si>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</si>
  <si>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</si>
  <si>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</si>
  <si>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</si>
  <si>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</si>
  <si>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</si>
  <si>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</si>
  <si>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</si>
  <si>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</si>
  <si>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</si>
  <si>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</si>
  <si>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</si>
  <si>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</si>
  <si>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</si>
  <si>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</si>
  <si>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</si>
  <si>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</si>
  <si>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</si>
  <si>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</si>
  <si>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</si>
  <si>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</si>
  <si>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</si>
  <si>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</si>
  <si>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</si>
  <si>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</si>
  <si>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</si>
  <si>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</si>
  <si>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</si>
  <si>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</si>
  <si>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</si>
  <si>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</si>
  <si>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</si>
  <si>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</si>
  <si>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</si>
  <si>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</si>
  <si>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</si>
  <si>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</si>
  <si>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</si>
  <si>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</si>
  <si>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</si>
  <si>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</si>
  <si>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</si>
  <si>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</si>
  <si>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</si>
  <si>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</si>
  <si>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</si>
  <si>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</si>
  <si>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</si>
  <si>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</si>
  <si>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</si>
  <si>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</si>
  <si>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</si>
  <si>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</si>
  <si>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</si>
  <si>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</si>
  <si>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</si>
  <si>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</si>
  <si>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</si>
  <si>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</si>
  <si>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</si>
  <si>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</si>
  <si>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</si>
  <si>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</si>
  <si>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</si>
  <si>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</si>
  <si>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</si>
  <si>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</si>
  <si>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</si>
  <si>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</si>
  <si>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</si>
  <si>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</si>
  <si>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</si>
  <si>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</si>
  <si>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</si>
  <si>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</si>
  <si>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</si>
  <si>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</si>
  <si>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</si>
  <si>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</si>
  <si>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</si>
  <si>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</si>
  <si>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</si>
  <si>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</si>
  <si>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</si>
  <si>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</si>
  <si>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</si>
  <si>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</si>
  <si>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</si>
  <si>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</si>
  <si>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</si>
  <si>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</si>
  <si>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</si>
  <si>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</si>
  <si>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</si>
  <si>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</si>
  <si>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</si>
  <si>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</si>
  <si>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</si>
  <si>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</si>
  <si>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</si>
  <si>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</si>
  <si>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</si>
  <si>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</si>
  <si>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</si>
  <si>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</si>
  <si>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</si>
  <si>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</si>
  <si>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</si>
  <si>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</si>
  <si>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</si>
  <si>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</si>
  <si>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</si>
  <si>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</si>
  <si>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</si>
  <si>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</si>
  <si>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</si>
  <si>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</si>
  <si>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</si>
  <si>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</si>
  <si>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</si>
  <si>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</si>
  <si>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</si>
  <si>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</si>
  <si>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</si>
  <si>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</si>
  <si>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</si>
  <si>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</si>
  <si>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</si>
  <si>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</si>
  <si>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</si>
  <si>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</si>
  <si>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</si>
  <si>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</si>
  <si>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</si>
  <si>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</si>
  <si>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</si>
  <si>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</si>
  <si>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</si>
  <si>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</si>
  <si>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</si>
  <si>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</si>
  <si>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</si>
  <si>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</si>
  <si>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</si>
  <si>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</si>
  <si>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</si>
  <si>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</si>
  <si>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</si>
  <si>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</si>
  <si>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</si>
  <si>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</si>
  <si>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</si>
  <si>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</si>
  <si>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</si>
  <si>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</si>
  <si>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</si>
  <si>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</si>
  <si>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</si>
  <si>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</si>
  <si>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</si>
  <si>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</si>
  <si>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</si>
  <si>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</si>
  <si>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</si>
  <si>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</si>
  <si>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</si>
  <si>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</si>
  <si>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</si>
  <si>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</si>
  <si>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</si>
  <si>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</si>
  <si>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</si>
  <si>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</si>
  <si>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</si>
  <si>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</si>
  <si>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</si>
  <si>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</si>
  <si>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</si>
  <si>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</si>
  <si>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</si>
  <si>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</si>
  <si>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</si>
  <si>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</si>
  <si>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</si>
  <si>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</si>
  <si>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</si>
  <si>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</si>
  <si>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</si>
  <si>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</si>
  <si>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</si>
  <si>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</si>
  <si>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</si>
  <si>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</si>
  <si>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</si>
  <si>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</si>
  <si>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</si>
  <si>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</si>
  <si>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</si>
  <si>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</si>
  <si>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</si>
  <si>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</si>
  <si>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</si>
  <si>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</si>
  <si>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</si>
  <si>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</si>
  <si>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</si>
  <si>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</si>
  <si>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</si>
  <si>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</si>
  <si>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</si>
  <si>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</si>
  <si>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</si>
  <si>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</si>
  <si>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</si>
  <si>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</si>
  <si>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</si>
  <si>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</si>
  <si>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</si>
  <si>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</si>
  <si>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</si>
  <si>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</si>
  <si>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</si>
  <si>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</si>
  <si>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</si>
  <si>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</si>
  <si>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</si>
  <si>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</si>
  <si>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</si>
  <si>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</si>
  <si>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</si>
  <si>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</si>
  <si>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</si>
  <si>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</si>
  <si>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</si>
  <si>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</si>
  <si>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</si>
  <si>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</si>
  <si>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</si>
  <si>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</si>
  <si>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</si>
  <si>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</si>
  <si>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</si>
  <si>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</si>
  <si>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</si>
  <si>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</si>
  <si>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</si>
  <si>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</si>
  <si>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</si>
  <si>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</si>
  <si>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</si>
  <si>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</si>
  <si>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</si>
  <si>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</si>
  <si>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</si>
  <si>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</si>
  <si>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</si>
  <si>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</si>
  <si>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</si>
  <si>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</si>
  <si>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</si>
  <si>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</si>
  <si>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</si>
  <si>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</si>
  <si>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</si>
  <si>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</si>
  <si>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</si>
  <si>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</si>
  <si>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</si>
  <si>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</si>
  <si>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</si>
  <si>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</si>
  <si>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</si>
  <si>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</si>
  <si>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</si>
  <si>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</si>
  <si>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</si>
  <si>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</si>
  <si>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</si>
  <si>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</si>
  <si>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</si>
  <si>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</si>
  <si>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</si>
  <si>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</si>
  <si>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</si>
  <si>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</si>
  <si>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</si>
  <si>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</si>
  <si>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</si>
  <si>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</si>
  <si>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</si>
  <si>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</si>
  <si>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</si>
  <si>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</si>
  <si>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</si>
  <si>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</si>
  <si>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</si>
  <si>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</si>
  <si>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</si>
  <si>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</si>
  <si>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</si>
  <si>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</si>
  <si>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</si>
  <si>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</si>
  <si>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</si>
  <si>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</si>
  <si>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</si>
  <si>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</si>
  <si>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</si>
  <si>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</si>
  <si>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</si>
  <si>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</si>
  <si>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</si>
  <si>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</si>
  <si>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</si>
  <si>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</si>
  <si>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</si>
  <si>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</si>
  <si>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</si>
  <si>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</si>
  <si>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</si>
  <si>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</si>
  <si>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</si>
  <si>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</si>
  <si>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</si>
  <si>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</si>
  <si>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</si>
  <si>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</si>
  <si>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</si>
  <si>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</si>
  <si>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</si>
  <si>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</si>
  <si>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</si>
  <si>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</si>
  <si>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</si>
  <si>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</si>
  <si>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</si>
  <si>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</si>
  <si>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</si>
  <si>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</si>
  <si>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</si>
  <si>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</si>
  <si>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</si>
  <si>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</si>
  <si>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</si>
  <si>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</si>
  <si>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</si>
  <si>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</si>
  <si>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</si>
  <si>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</si>
  <si>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</si>
  <si>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</si>
  <si>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</si>
  <si>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</si>
  <si>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</si>
  <si>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</si>
  <si>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</si>
  <si>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</si>
  <si>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</si>
  <si>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</si>
  <si>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</si>
  <si>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</si>
  <si>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</si>
  <si>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</si>
  <si>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</si>
  <si>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</si>
  <si>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</si>
  <si>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</si>
  <si>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</si>
  <si>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</si>
  <si>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</si>
  <si>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</si>
  <si>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</si>
  <si>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</si>
  <si>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</si>
  <si>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</si>
  <si>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</si>
  <si>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</si>
  <si>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</si>
  <si>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</si>
  <si>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</si>
  <si>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</si>
  <si>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</si>
  <si>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</si>
  <si>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</si>
  <si>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</si>
  <si>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</si>
  <si>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</si>
  <si>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</si>
  <si>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</si>
  <si>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</si>
  <si>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</si>
  <si>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</si>
  <si>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</si>
  <si>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</si>
  <si>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</si>
  <si>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</si>
  <si>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</si>
  <si>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</si>
  <si>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</si>
  <si>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</si>
  <si>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</si>
  <si>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</si>
  <si>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</si>
  <si>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</si>
  <si>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</si>
  <si>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</si>
  <si>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</si>
  <si>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</si>
  <si>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</si>
  <si>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</si>
  <si>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</si>
  <si>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</si>
  <si>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</si>
  <si>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</si>
  <si>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</si>
  <si>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</si>
  <si>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</si>
  <si>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</si>
  <si>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</si>
  <si>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</si>
  <si>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</si>
  <si>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</si>
  <si>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</si>
  <si>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</si>
  <si>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</si>
  <si>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</si>
  <si>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</si>
  <si>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</si>
  <si>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</si>
  <si>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</si>
  <si>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</si>
  <si>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</si>
  <si>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</si>
  <si>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</si>
  <si>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</si>
  <si>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</si>
  <si>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</si>
  <si>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</si>
  <si>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</si>
  <si>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</si>
  <si>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</si>
  <si>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</si>
  <si>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</si>
  <si>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</si>
  <si>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</si>
  <si>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</si>
  <si>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</si>
  <si>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</si>
  <si>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</si>
  <si>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</si>
  <si>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</si>
  <si>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</si>
  <si>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</si>
  <si>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</si>
  <si>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</si>
  <si>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</si>
  <si>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</si>
  <si>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</si>
  <si>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</si>
  <si>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</si>
  <si>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</si>
  <si>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</si>
  <si>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</si>
  <si>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</si>
  <si>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</si>
  <si>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</si>
  <si>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</si>
  <si>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</si>
  <si>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</si>
  <si>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</si>
  <si>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</si>
  <si>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</si>
  <si>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</si>
  <si>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</si>
  <si>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</si>
  <si>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</si>
  <si>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</si>
  <si>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</si>
  <si>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</si>
  <si>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</si>
  <si>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</si>
  <si>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</si>
  <si>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</si>
  <si>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</si>
  <si>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</si>
  <si>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</si>
  <si>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</si>
  <si>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</si>
  <si>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</si>
  <si>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</si>
  <si>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</si>
  <si>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</si>
  <si>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</si>
  <si>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</si>
  <si>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</si>
  <si>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</si>
  <si>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</si>
  <si>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</si>
  <si>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</si>
  <si>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</si>
  <si>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</si>
  <si>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</si>
  <si>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</si>
  <si>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</si>
  <si>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</si>
  <si>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</si>
  <si>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</si>
  <si>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</si>
  <si>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</si>
  <si>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</si>
  <si>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</si>
  <si>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</si>
  <si>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</si>
  <si>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</si>
  <si>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</si>
  <si>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</si>
  <si>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</si>
  <si>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</si>
  <si>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</si>
  <si>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</si>
  <si>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</si>
  <si>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</si>
  <si>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</si>
  <si>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</si>
  <si>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</si>
  <si>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</si>
  <si>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</si>
  <si>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</si>
  <si>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</si>
  <si>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</si>
  <si>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</si>
  <si>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</si>
  <si>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</si>
  <si>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</si>
  <si>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</si>
  <si>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</si>
  <si>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</si>
  <si>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</si>
  <si>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</si>
  <si>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</si>
  <si>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</si>
  <si>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</si>
  <si>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</si>
  <si>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</si>
  <si>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</si>
  <si>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</si>
  <si>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</si>
  <si>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</si>
  <si>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</si>
  <si>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</si>
  <si>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</si>
  <si>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</si>
  <si>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</si>
  <si>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</si>
  <si>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</si>
  <si>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</si>
  <si>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</si>
  <si>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</si>
  <si>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</si>
  <si>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</si>
  <si>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</si>
  <si>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</si>
  <si>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</si>
  <si>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</si>
  <si>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</si>
  <si>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</si>
  <si>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</si>
  <si>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</si>
  <si>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</si>
  <si>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</si>
  <si>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</si>
  <si>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</si>
  <si>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</si>
  <si>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</si>
  <si>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</si>
  <si>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</si>
  <si>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</si>
  <si>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</si>
  <si>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</si>
  <si>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</si>
  <si>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</si>
  <si>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</si>
  <si>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</si>
  <si>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</si>
  <si>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</si>
  <si>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</si>
  <si>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</si>
  <si>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</si>
  <si>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</si>
  <si>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</si>
  <si>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</si>
  <si>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</si>
  <si>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</si>
  <si>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</si>
  <si>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</si>
  <si>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</si>
  <si>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</si>
  <si>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</si>
  <si>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</si>
  <si>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</si>
  <si>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</si>
  <si>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</si>
  <si>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</si>
  <si>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</si>
  <si>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</si>
  <si>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</si>
  <si>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</si>
  <si>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</si>
  <si>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</si>
  <si>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</si>
  <si>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</si>
  <si>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</si>
  <si>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</si>
  <si>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</si>
  <si>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</si>
  <si>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</si>
  <si>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</si>
  <si>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</si>
  <si>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</si>
  <si>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</si>
  <si>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</si>
  <si>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</si>
  <si>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</si>
  <si>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</si>
  <si>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</si>
  <si>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</si>
  <si>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</si>
  <si>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</si>
  <si>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</si>
  <si>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</si>
  <si>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</si>
  <si>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</si>
  <si>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</si>
  <si>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</si>
  <si>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</si>
  <si>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</si>
  <si>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</si>
  <si>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</si>
  <si>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</si>
  <si>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</si>
  <si>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</si>
  <si>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</si>
  <si>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</si>
  <si>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</si>
  <si>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</si>
  <si>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</si>
  <si>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</si>
  <si>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</si>
  <si>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</si>
  <si>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</si>
  <si>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</si>
  <si>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</si>
  <si>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</si>
  <si>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</si>
  <si>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</si>
  <si>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</si>
  <si>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</si>
  <si>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</si>
  <si>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</si>
  <si>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</si>
  <si>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</si>
  <si>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</si>
  <si>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</si>
  <si>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</si>
  <si>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</si>
  <si>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</si>
  <si>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</si>
  <si>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</si>
  <si>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</si>
  <si>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</si>
  <si>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</si>
  <si>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</si>
  <si>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</si>
  <si>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</si>
  <si>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</si>
  <si>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</si>
  <si>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</si>
  <si>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</si>
  <si>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</si>
  <si>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</si>
  <si>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</si>
  <si>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</si>
  <si>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</si>
  <si>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</si>
  <si>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</si>
  <si>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</si>
  <si>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</si>
  <si>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</si>
  <si>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</si>
  <si>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</si>
  <si>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</si>
  <si>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</si>
  <si>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</si>
  <si>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</si>
  <si>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</si>
  <si>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</si>
  <si>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</si>
  <si>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</si>
  <si>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</si>
  <si>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</si>
  <si>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</si>
  <si>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</si>
  <si>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</si>
  <si>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</si>
  <si>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</si>
  <si>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</si>
  <si>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</si>
  <si>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</si>
  <si>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</si>
  <si>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</si>
  <si>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</si>
  <si>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</si>
  <si>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</si>
  <si>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</si>
  <si>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</si>
  <si>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</si>
  <si>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</si>
  <si>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</si>
  <si>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</si>
  <si>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</si>
  <si>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</si>
  <si>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</si>
  <si>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</si>
  <si>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</si>
  <si>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</si>
  <si>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</si>
  <si>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</si>
  <si>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</si>
  <si>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</si>
  <si>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</si>
  <si>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</si>
  <si>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</si>
  <si>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</si>
  <si>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</si>
  <si>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</si>
  <si>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</si>
  <si>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</si>
  <si>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</si>
  <si>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</si>
  <si>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</si>
  <si>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</si>
  <si>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</si>
  <si>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</si>
  <si>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</si>
  <si>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</si>
  <si>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</si>
  <si>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</si>
  <si>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</si>
  <si>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</si>
  <si>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</si>
  <si>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</si>
  <si>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</si>
  <si>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</si>
  <si>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</si>
  <si>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</si>
  <si>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</si>
  <si>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</si>
  <si>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</si>
  <si>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</si>
  <si>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</si>
  <si>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</si>
  <si>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</si>
  <si>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</si>
  <si>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</si>
  <si>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</si>
  <si>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</si>
  <si>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</si>
  <si>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</si>
  <si>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</si>
  <si>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</si>
  <si>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</si>
  <si>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</si>
  <si>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</si>
  <si>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</si>
  <si>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</si>
  <si>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</si>
  <si>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</si>
  <si>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</si>
  <si>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</si>
  <si>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</si>
  <si>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</si>
  <si>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</si>
  <si>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</si>
  <si>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</si>
  <si>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</si>
  <si>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</si>
  <si>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</si>
  <si>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</si>
  <si>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</si>
  <si>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</si>
  <si>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</si>
  <si>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</si>
  <si>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</si>
  <si>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</si>
  <si>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</si>
  <si>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</si>
  <si>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</si>
  <si>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</si>
  <si>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</si>
  <si>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</si>
  <si>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</si>
  <si>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</si>
  <si>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</si>
  <si>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</si>
  <si>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</si>
  <si>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</si>
  <si>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</si>
  <si>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</si>
  <si>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</si>
  <si>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</si>
  <si>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</si>
  <si>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</si>
  <si>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</si>
  <si>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</si>
  <si>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</si>
  <si>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</si>
  <si>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</si>
  <si>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</si>
  <si>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</si>
  <si>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</si>
  <si>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</si>
  <si>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</si>
  <si>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</si>
  <si>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</si>
  <si>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</si>
  <si>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</si>
  <si>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</si>
  <si>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</si>
  <si>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</si>
  <si>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</si>
  <si>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</si>
  <si>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</si>
  <si>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</si>
  <si>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</si>
  <si>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</si>
  <si>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</si>
  <si>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</si>
  <si>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</si>
  <si>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</si>
  <si>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</si>
  <si>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</si>
  <si>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</si>
  <si>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</si>
  <si>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</si>
  <si>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</si>
  <si>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</si>
  <si>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</si>
  <si>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</si>
  <si>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</si>
  <si>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</si>
  <si>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</si>
  <si>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</si>
  <si>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</si>
  <si>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</si>
  <si>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</si>
  <si>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</si>
  <si>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</si>
  <si>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</si>
  <si>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</si>
  <si>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</si>
  <si>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</si>
  <si>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</si>
  <si>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</si>
  <si>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</si>
  <si>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</si>
  <si>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</si>
  <si>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</si>
  <si>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</si>
  <si>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</si>
  <si>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</si>
  <si>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</si>
  <si>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</si>
  <si>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</si>
  <si>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</si>
  <si>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</si>
  <si>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</si>
  <si>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</si>
  <si>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</si>
  <si>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</si>
  <si>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</si>
  <si>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</si>
  <si>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</si>
  <si>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</si>
  <si>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</si>
  <si>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</si>
  <si>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</si>
  <si>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</si>
  <si>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</si>
  <si>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</si>
  <si>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</si>
  <si>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</si>
  <si>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</si>
  <si>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</si>
  <si>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</si>
  <si>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</si>
  <si>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</si>
  <si>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</si>
  <si>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</si>
  <si>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</si>
  <si>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</si>
  <si>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</si>
  <si>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</si>
  <si>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</si>
  <si>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</si>
  <si>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</si>
  <si>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</si>
  <si>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</si>
  <si>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</si>
  <si>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</si>
  <si>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</si>
  <si>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</si>
  <si>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</si>
  <si>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</si>
  <si>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</si>
  <si>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</si>
  <si>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</si>
  <si>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</si>
  <si>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</si>
  <si>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</si>
  <si>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</si>
  <si>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</si>
  <si>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</si>
  <si>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</si>
  <si>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</si>
  <si>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</si>
  <si>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</si>
  <si>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</si>
  <si>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</si>
  <si>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</si>
  <si>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</si>
  <si>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</si>
  <si>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</si>
  <si>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</si>
  <si>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</si>
  <si>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</si>
  <si>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</si>
  <si>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</si>
  <si>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</si>
  <si>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</si>
  <si>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</si>
  <si>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</si>
  <si>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</si>
  <si>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</si>
  <si>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</si>
  <si>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</si>
  <si>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</si>
  <si>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</si>
  <si>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</si>
  <si>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</si>
  <si>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</si>
  <si>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</si>
  <si>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</si>
  <si>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</si>
  <si>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</si>
  <si>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</si>
  <si>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</si>
  <si>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</si>
  <si>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</si>
  <si>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</si>
  <si>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</si>
  <si>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</si>
  <si>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</si>
  <si>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</si>
  <si>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</si>
  <si>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</si>
  <si>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</si>
  <si>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</si>
  <si>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</si>
  <si>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</si>
  <si>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</si>
  <si>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</si>
  <si>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</si>
  <si>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</si>
  <si>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</si>
  <si>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</si>
  <si>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</si>
  <si>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</si>
  <si>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</si>
  <si>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</si>
  <si>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</si>
  <si>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</si>
  <si>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</si>
  <si>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</si>
  <si>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</si>
  <si>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</si>
  <si>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</si>
  <si>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</si>
  <si>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</si>
  <si>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</si>
  <si>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</si>
  <si>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</si>
  <si>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</si>
  <si>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</si>
  <si>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</si>
  <si>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</si>
  <si>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</si>
  <si>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</si>
  <si>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</si>
  <si>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</si>
  <si>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</si>
  <si>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</si>
  <si>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</si>
  <si>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</si>
  <si>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</si>
  <si>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</si>
  <si>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</si>
  <si>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</si>
  <si>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</si>
  <si>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</si>
  <si>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</si>
  <si>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</si>
  <si>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</si>
  <si>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</si>
  <si>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</si>
  <si>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</si>
  <si>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</si>
  <si>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</si>
  <si>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</si>
  <si>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</si>
  <si>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</si>
  <si>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</si>
  <si>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</si>
  <si>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</si>
  <si>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</si>
  <si>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</si>
  <si>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</si>
  <si>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</si>
  <si>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</si>
  <si>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</si>
  <si>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</si>
  <si>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</si>
  <si>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</si>
  <si>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</si>
  <si>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</si>
  <si>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</si>
  <si>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</si>
  <si>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</si>
  <si>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</si>
  <si>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</si>
  <si>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</si>
  <si>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</si>
  <si>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</si>
  <si>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</si>
  <si>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</si>
  <si>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</si>
  <si>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</si>
  <si>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</si>
  <si>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</si>
  <si>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</si>
  <si>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</si>
  <si>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</si>
  <si>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</si>
  <si>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</si>
  <si>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</si>
  <si>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</si>
  <si>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</si>
  <si>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</si>
  <si>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</si>
  <si>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</si>
  <si>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</si>
  <si>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</si>
  <si>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</si>
  <si>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</si>
  <si>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</si>
  <si>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</si>
  <si>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</si>
  <si>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</si>
  <si>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</si>
  <si>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</si>
  <si>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</si>
  <si>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</si>
  <si>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</si>
  <si>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</si>
  <si>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</si>
  <si>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</si>
  <si>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</si>
  <si>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</si>
  <si>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</si>
  <si>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</si>
  <si>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</si>
  <si>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</si>
  <si>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</si>
  <si>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</si>
  <si>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</si>
  <si>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</si>
  <si>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</si>
  <si>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</si>
  <si>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</si>
  <si>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</si>
  <si>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</si>
  <si>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</si>
  <si>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</si>
  <si>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</si>
  <si>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</si>
  <si>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</si>
  <si>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</si>
  <si>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</si>
  <si>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</si>
  <si>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</si>
  <si>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</si>
  <si>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</si>
  <si>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</si>
  <si>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</si>
  <si>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</si>
  <si>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</si>
  <si>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</si>
  <si>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</si>
  <si>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</si>
  <si>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</si>
  <si>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</si>
  <si>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</si>
  <si>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</si>
  <si>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</si>
  <si>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</si>
  <si>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</si>
  <si>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</si>
  <si>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</si>
  <si>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</si>
  <si>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</si>
  <si>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</si>
  <si>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</si>
  <si>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</si>
  <si>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</si>
  <si>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</si>
  <si>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</si>
  <si>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</si>
  <si>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</si>
  <si>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</si>
  <si>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</si>
  <si>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</si>
  <si>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</si>
  <si>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</si>
  <si>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</si>
  <si>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</si>
  <si>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</si>
  <si>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</si>
  <si>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</si>
  <si>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</si>
  <si>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</si>
  <si>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</si>
  <si>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</si>
  <si>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</si>
  <si>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</si>
  <si>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</si>
  <si>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</si>
  <si>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</si>
  <si>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</si>
  <si>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</si>
  <si>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</si>
  <si>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</si>
  <si>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</si>
  <si>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</si>
  <si>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</si>
  <si>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</si>
  <si>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</si>
  <si>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</si>
  <si>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</si>
  <si>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</si>
  <si>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</si>
  <si>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</si>
  <si>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</si>
  <si>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</si>
  <si>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</si>
  <si>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</si>
  <si>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</si>
  <si>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</si>
  <si>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</si>
  <si>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</si>
  <si>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</si>
  <si>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</si>
  <si>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</si>
  <si>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</si>
  <si>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</si>
  <si>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</si>
  <si>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</si>
  <si>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</si>
  <si>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</si>
  <si>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</si>
  <si>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</si>
  <si>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</si>
  <si>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</si>
  <si>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</si>
  <si>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</si>
  <si>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</si>
  <si>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</si>
  <si>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</si>
  <si>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</si>
  <si>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</si>
  <si>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</si>
  <si>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</si>
  <si>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</si>
  <si>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</si>
  <si>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</si>
  <si>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</si>
  <si>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</si>
  <si>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</si>
  <si>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</si>
  <si>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</si>
  <si>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</si>
  <si>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</si>
  <si>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</si>
  <si>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</si>
  <si>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</si>
  <si>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</si>
  <si>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</si>
  <si>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</si>
  <si>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</si>
  <si>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</si>
  <si>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</si>
  <si>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</si>
  <si>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</si>
  <si>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</si>
  <si>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</si>
  <si>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</si>
  <si>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</si>
  <si>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</si>
  <si>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</si>
  <si>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</si>
  <si>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</si>
  <si>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</si>
  <si>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</si>
  <si>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</si>
  <si>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</si>
  <si>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</si>
  <si>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</si>
  <si>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</si>
  <si>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</si>
  <si>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</si>
  <si>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</si>
  <si>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</si>
  <si>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</si>
  <si>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</si>
  <si>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</si>
  <si>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</si>
  <si>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</si>
  <si>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</si>
  <si>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</si>
  <si>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</si>
  <si>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</si>
  <si>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</si>
  <si>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</si>
  <si>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</si>
  <si>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</si>
  <si>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</si>
  <si>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</si>
  <si>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</si>
  <si>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</si>
  <si>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</si>
  <si>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</si>
  <si>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</si>
  <si>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</si>
  <si>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</si>
  <si>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</si>
  <si>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</si>
  <si>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</si>
  <si>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</si>
  <si>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</si>
  <si>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</si>
  <si>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</si>
  <si>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</si>
  <si>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</si>
  <si>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</si>
  <si>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</si>
  <si>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</si>
  <si>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</si>
  <si>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</si>
  <si>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</si>
  <si>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</si>
  <si>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</si>
  <si>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</si>
  <si>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</si>
  <si>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</si>
  <si>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</si>
  <si>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</si>
  <si>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</si>
  <si>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</si>
  <si>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</si>
  <si>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</si>
  <si>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</si>
  <si>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</si>
  <si>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</si>
  <si>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</si>
  <si>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</si>
  <si>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</si>
  <si>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</si>
  <si>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</si>
  <si>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</si>
  <si>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</si>
  <si>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</si>
  <si>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</si>
  <si>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</si>
  <si>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</si>
  <si>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</si>
  <si>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</si>
  <si>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</si>
  <si>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</si>
  <si>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</si>
  <si>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</si>
  <si>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</si>
  <si>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</si>
  <si>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</si>
  <si>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</si>
  <si>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</si>
  <si>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</si>
  <si>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</si>
  <si>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</si>
  <si>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</si>
  <si>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</si>
  <si>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</si>
  <si>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</si>
  <si>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</si>
  <si>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</si>
  <si>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</si>
  <si>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</si>
  <si>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</si>
  <si>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</si>
  <si>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</si>
  <si>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</si>
  <si>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</si>
  <si>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</si>
  <si>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</si>
  <si>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</si>
  <si>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</si>
  <si>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</si>
  <si>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</si>
  <si>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</si>
  <si>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</si>
  <si>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</si>
  <si>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</si>
  <si>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</si>
  <si>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</si>
  <si>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</si>
  <si>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</si>
  <si>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</si>
  <si>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</si>
  <si>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</si>
  <si>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</si>
  <si>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</si>
  <si>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</si>
  <si>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</si>
  <si>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</si>
  <si>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</si>
  <si>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</si>
  <si>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</si>
  <si>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</si>
  <si>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</si>
  <si>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</si>
  <si>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</si>
  <si>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</si>
  <si>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</si>
  <si>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</si>
  <si>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</si>
  <si>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</si>
  <si>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</si>
  <si>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</si>
  <si>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</si>
  <si>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</si>
  <si>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</si>
  <si>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</si>
  <si>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</si>
  <si>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</si>
  <si>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</si>
  <si>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</si>
  <si>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</si>
  <si>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</si>
  <si>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</si>
  <si>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</si>
  <si>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</si>
  <si>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</si>
  <si>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</si>
  <si>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</si>
  <si>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</si>
  <si>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</si>
  <si>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</si>
  <si>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</si>
  <si>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</si>
  <si>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</si>
  <si>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</si>
  <si>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</si>
  <si>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</si>
  <si>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</si>
  <si>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</si>
  <si>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</si>
  <si>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</si>
  <si>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</si>
  <si>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</si>
  <si>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</si>
  <si>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</si>
  <si>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</si>
  <si>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</si>
  <si>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</si>
  <si>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</si>
  <si>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</si>
  <si>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</si>
  <si>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</si>
  <si>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</si>
  <si>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</si>
  <si>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</si>
  <si>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</si>
  <si>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</si>
  <si>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</si>
  <si>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</si>
  <si>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</si>
  <si>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</si>
  <si>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</si>
  <si>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</si>
  <si>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</si>
  <si>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</si>
  <si>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</si>
  <si>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</si>
  <si>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</si>
  <si>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</si>
  <si>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</si>
  <si>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</si>
  <si>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</si>
  <si>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</si>
  <si>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</si>
  <si>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</si>
  <si>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</si>
  <si>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</si>
  <si>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</si>
  <si>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</si>
  <si>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</si>
  <si>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</si>
  <si>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</si>
  <si>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</si>
  <si>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</si>
  <si>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</si>
  <si>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</si>
  <si>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</si>
  <si>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</si>
  <si>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</si>
  <si>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</si>
  <si>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</si>
  <si>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</si>
  <si>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</si>
  <si>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</si>
  <si>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</si>
  <si>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</si>
  <si>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</si>
  <si>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</si>
  <si>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</si>
  <si>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</si>
  <si>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</si>
  <si>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</si>
  <si>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</si>
  <si>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</si>
  <si>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</si>
  <si>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</si>
  <si>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</si>
  <si>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</si>
  <si>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</si>
  <si>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</si>
  <si>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</si>
  <si>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</si>
  <si>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</si>
  <si>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</si>
  <si>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</si>
  <si>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</si>
  <si>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</si>
  <si>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</si>
  <si>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</si>
  <si>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</si>
  <si>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</si>
  <si>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</si>
  <si>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</si>
  <si>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</si>
  <si>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</si>
  <si>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</si>
  <si>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</si>
  <si>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</si>
  <si>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</si>
  <si>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</si>
  <si>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</si>
  <si>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</si>
  <si>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</si>
  <si>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</si>
  <si>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</si>
  <si>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</si>
  <si>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</si>
  <si>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</si>
  <si>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</si>
  <si>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</si>
  <si>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</si>
  <si>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</si>
  <si>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</si>
  <si>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</si>
  <si>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</si>
  <si>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</si>
  <si>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</si>
  <si>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</si>
  <si>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</si>
  <si>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</si>
  <si>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</si>
  <si>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</si>
  <si>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</si>
  <si>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</si>
  <si>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</si>
  <si>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</si>
  <si>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</si>
  <si>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</si>
  <si>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</si>
  <si>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</si>
  <si>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</si>
  <si>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</si>
  <si>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</si>
  <si>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</si>
  <si>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</si>
  <si>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</si>
  <si>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</si>
  <si>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</si>
  <si>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</si>
  <si>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</si>
  <si>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</si>
  <si>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</si>
  <si>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</si>
  <si>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</si>
  <si>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</si>
  <si>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</si>
  <si>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</si>
  <si>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</si>
  <si>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</si>
  <si>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</si>
  <si>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</si>
  <si>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</si>
  <si>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</si>
  <si>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</si>
  <si>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</si>
  <si>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</si>
  <si>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</si>
  <si>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</si>
  <si>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</si>
  <si>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</si>
  <si>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</si>
  <si>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</si>
  <si>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</si>
  <si>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</si>
  <si>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</si>
  <si>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</si>
  <si>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</si>
  <si>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</si>
  <si>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</si>
  <si>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</si>
  <si>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</si>
  <si>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</si>
  <si>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</si>
  <si>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</si>
  <si>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</si>
  <si>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</si>
  <si>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</si>
  <si>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</si>
  <si>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</si>
  <si>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</si>
  <si>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</si>
  <si>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</si>
  <si>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</si>
  <si>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</si>
  <si>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</si>
  <si>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</si>
  <si>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</si>
  <si>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</si>
  <si>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</si>
  <si>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</si>
  <si>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</si>
  <si>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</si>
  <si>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</si>
  <si>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</si>
  <si>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</si>
  <si>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</si>
  <si>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</si>
  <si>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</si>
  <si>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</si>
  <si>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</si>
  <si>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</si>
  <si>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</si>
  <si>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</si>
  <si>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</si>
  <si>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</si>
  <si>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</si>
  <si>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</si>
  <si>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</si>
  <si>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</si>
  <si>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</si>
  <si>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</si>
  <si>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</si>
  <si>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</si>
  <si>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</si>
  <si>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</si>
  <si>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</si>
  <si>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</si>
  <si>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</si>
  <si>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</si>
  <si>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</si>
  <si>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</si>
  <si>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</si>
  <si>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</si>
  <si>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</si>
  <si>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</si>
  <si>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</si>
  <si>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</si>
  <si>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</si>
  <si>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</si>
  <si>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</si>
  <si>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</si>
  <si>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</si>
  <si>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</si>
  <si>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</si>
  <si>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</si>
  <si>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</si>
  <si>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</si>
  <si>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</si>
  <si>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</si>
  <si>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</si>
  <si>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</si>
  <si>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</si>
  <si>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</si>
  <si>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</si>
  <si>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</si>
  <si>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</si>
  <si>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</si>
  <si>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</si>
  <si>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</si>
  <si>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</si>
  <si>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</si>
  <si>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</si>
  <si>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</si>
  <si>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</si>
  <si>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</si>
  <si>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</si>
  <si>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</si>
  <si>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</si>
  <si>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</si>
  <si>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</si>
  <si>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</si>
  <si>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</si>
  <si>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</si>
  <si>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</si>
  <si>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</si>
  <si>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</si>
  <si>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</si>
  <si>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</si>
  <si>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</si>
  <si>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</si>
  <si>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</si>
  <si>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</si>
  <si>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</si>
  <si>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</si>
  <si>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</si>
  <si>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</si>
  <si>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</si>
  <si>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</si>
  <si>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</si>
  <si>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</si>
  <si>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</si>
  <si>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</si>
  <si>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</si>
  <si>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</si>
  <si>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</si>
  <si>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</si>
  <si>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</si>
  <si>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</si>
  <si>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</si>
  <si>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</si>
  <si>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</si>
  <si>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</si>
  <si>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</si>
  <si>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</si>
  <si>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</si>
  <si>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</si>
  <si>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</si>
  <si>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</si>
  <si>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</si>
  <si>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</si>
  <si>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</si>
  <si>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</si>
  <si>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</si>
  <si>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</si>
  <si>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</si>
  <si>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</si>
  <si>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</si>
  <si>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</si>
  <si>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</si>
  <si>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</si>
  <si>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</si>
  <si>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</si>
  <si>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</si>
  <si>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</si>
  <si>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</si>
  <si>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</si>
  <si>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</si>
  <si>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</si>
  <si>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</si>
  <si>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</si>
  <si>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</si>
  <si>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</si>
  <si>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</si>
  <si>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</si>
  <si>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</si>
  <si>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</si>
  <si>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</si>
  <si>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</si>
  <si>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</si>
  <si>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</si>
  <si>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</si>
  <si>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</si>
  <si>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</si>
  <si>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</si>
  <si>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</si>
  <si>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</si>
  <si>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</si>
  <si>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</si>
  <si>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</si>
  <si>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</si>
  <si>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</si>
  <si>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</si>
  <si>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</si>
  <si>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</si>
  <si>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</si>
  <si>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</si>
  <si>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</si>
  <si>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</si>
  <si>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</si>
  <si>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</si>
  <si>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</si>
  <si>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</si>
  <si>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</si>
  <si>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</si>
  <si>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</si>
  <si>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</si>
  <si>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</si>
  <si>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</si>
  <si>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</si>
  <si>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</si>
  <si>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</si>
  <si>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</si>
  <si>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</si>
  <si>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</si>
  <si>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</si>
  <si>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</si>
  <si>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</si>
  <si>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</si>
  <si>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</si>
  <si>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</si>
  <si>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</si>
  <si>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</si>
  <si>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</si>
  <si>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</si>
  <si>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</si>
  <si>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</si>
  <si>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</si>
  <si>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</si>
  <si>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</si>
  <si>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</si>
  <si>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</si>
  <si>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</si>
  <si>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</si>
  <si>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</si>
  <si>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</si>
  <si>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</si>
  <si>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</si>
  <si>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</si>
  <si>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</si>
  <si>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</si>
  <si>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</si>
  <si>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</si>
  <si>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</si>
  <si>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</si>
  <si>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</si>
  <si>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</si>
  <si>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</si>
  <si>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</si>
  <si>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</si>
  <si>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</si>
  <si>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</si>
  <si>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</si>
  <si>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</si>
  <si>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</si>
  <si>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</si>
  <si>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</si>
  <si>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</si>
  <si>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</si>
  <si>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</si>
  <si>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</si>
  <si>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</si>
  <si>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</si>
  <si>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</si>
  <si>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</si>
  <si>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</si>
  <si>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</si>
  <si>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</si>
  <si>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</si>
  <si>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</si>
  <si>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</si>
  <si>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</si>
  <si>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</si>
  <si>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</si>
  <si>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</si>
  <si>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</si>
  <si>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</si>
  <si>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</si>
  <si>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</si>
  <si>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</si>
  <si>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</si>
  <si>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</si>
  <si>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</si>
  <si>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</si>
  <si>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</si>
  <si>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</si>
  <si>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</si>
  <si>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</si>
  <si>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</si>
  <si>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</si>
  <si>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</si>
  <si>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</si>
  <si>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</si>
  <si>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</si>
  <si>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</si>
  <si>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</si>
  <si>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</si>
  <si>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</si>
  <si>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</si>
  <si>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</si>
  <si>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</si>
  <si>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</si>
  <si>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</si>
  <si>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</si>
  <si>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</si>
  <si>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</si>
  <si>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</si>
  <si>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</si>
  <si>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</si>
  <si>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</si>
  <si>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</si>
  <si>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</si>
  <si>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</si>
  <si>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</si>
  <si>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</si>
  <si>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</si>
  <si>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</si>
  <si>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</si>
  <si>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</si>
  <si>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</si>
  <si>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</si>
  <si>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</si>
  <si>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</si>
  <si>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</si>
  <si>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</si>
  <si>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</si>
  <si>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</si>
  <si>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</si>
  <si>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</si>
  <si>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</si>
  <si>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</si>
  <si>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</si>
  <si>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</si>
  <si>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</si>
  <si>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</si>
  <si>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</si>
  <si>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</si>
  <si>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</si>
  <si>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</si>
  <si>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</si>
  <si>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</si>
  <si>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</si>
  <si>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</si>
  <si>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</si>
  <si>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</si>
  <si>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</si>
  <si>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</si>
  <si>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</si>
  <si>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</si>
  <si>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</si>
  <si>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</si>
  <si>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</si>
  <si>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</si>
  <si>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</si>
  <si>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</si>
  <si>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</si>
  <si>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</si>
  <si>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</si>
  <si>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</si>
  <si>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</si>
  <si>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</si>
  <si>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</si>
  <si>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</si>
  <si>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</si>
  <si>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</si>
  <si>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</si>
  <si>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</si>
  <si>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</si>
  <si>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</si>
  <si>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</si>
  <si>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</si>
  <si>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</si>
  <si>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</si>
  <si>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</si>
  <si>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</si>
  <si>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</si>
  <si>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</si>
  <si>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</si>
  <si>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</si>
  <si>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</si>
  <si>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</si>
  <si>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</si>
  <si>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</si>
  <si>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</si>
  <si>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</si>
  <si>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</si>
  <si>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</si>
  <si>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</si>
  <si>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</si>
  <si>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</si>
  <si>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</si>
  <si>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</si>
  <si>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</si>
  <si>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</si>
  <si>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</si>
  <si>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</si>
  <si>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</si>
  <si>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</si>
  <si>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</si>
  <si>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</si>
  <si>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</si>
  <si>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</si>
  <si>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</si>
  <si>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</si>
  <si>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</si>
  <si>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</si>
  <si>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</si>
  <si>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</si>
  <si>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</si>
  <si>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</si>
  <si>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</si>
  <si>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</si>
  <si>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</si>
  <si>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</si>
  <si>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</si>
  <si>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</si>
  <si>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</si>
  <si>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</si>
  <si>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</si>
  <si>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</si>
  <si>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</si>
  <si>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</si>
  <si>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</si>
  <si>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</si>
  <si>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</si>
  <si>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</si>
  <si>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</si>
  <si>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</si>
  <si>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</si>
  <si>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</si>
  <si>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</si>
  <si>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</si>
  <si>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</si>
  <si>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</si>
  <si>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</si>
  <si>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</si>
  <si>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</si>
  <si>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</si>
  <si>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</si>
  <si>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</si>
  <si>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</si>
  <si>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</si>
  <si>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</si>
  <si>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</si>
  <si>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</si>
  <si>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</si>
  <si>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</si>
  <si>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</si>
  <si>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</si>
  <si>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</si>
  <si>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</si>
  <si>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</si>
  <si>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</si>
  <si>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</si>
  <si>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</si>
  <si>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</si>
  <si>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</si>
  <si>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</si>
  <si>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</si>
  <si>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</si>
  <si>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</si>
  <si>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</si>
  <si>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</si>
  <si>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</si>
  <si>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</si>
  <si>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</si>
  <si>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</si>
  <si>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</si>
  <si>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</si>
  <si>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</si>
  <si>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</si>
  <si>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</si>
  <si>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</si>
  <si>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</si>
  <si>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</si>
  <si>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</si>
  <si>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</si>
  <si>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</si>
  <si>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</si>
  <si>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</si>
  <si>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</si>
  <si>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</si>
  <si>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</si>
  <si>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</si>
  <si>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</si>
  <si>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</si>
  <si>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</si>
  <si>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</si>
  <si>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</si>
  <si>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</si>
  <si>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</si>
  <si>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</si>
  <si>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</si>
  <si>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</si>
  <si>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</si>
  <si>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</si>
  <si>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</si>
  <si>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</si>
  <si>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</si>
  <si>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</si>
  <si>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</si>
  <si>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</si>
  <si>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</si>
  <si>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</si>
  <si>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</si>
  <si>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</si>
  <si>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</si>
  <si>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</si>
  <si>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</si>
  <si>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</si>
  <si>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</si>
  <si>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</si>
  <si>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</si>
  <si>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</si>
  <si>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</si>
  <si>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</si>
  <si>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</si>
  <si>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</si>
  <si>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</si>
  <si>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</si>
  <si>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</si>
  <si>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</si>
  <si>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</si>
  <si>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</si>
  <si>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</si>
  <si>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</si>
  <si>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</si>
  <si>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</si>
  <si>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</si>
  <si>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</si>
  <si>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</si>
  <si>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</si>
  <si>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</si>
  <si>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</si>
  <si>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</si>
  <si>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</si>
  <si>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</si>
  <si>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</si>
  <si>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</si>
  <si>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</si>
  <si>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</si>
  <si>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</si>
  <si>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</si>
  <si>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</si>
  <si>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</si>
  <si>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</si>
  <si>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</si>
  <si>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</si>
  <si>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</si>
  <si>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</si>
  <si>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</si>
  <si>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</si>
  <si>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</si>
  <si>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</si>
  <si>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</si>
  <si>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</si>
  <si>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</si>
  <si>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</si>
  <si>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</si>
  <si>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</si>
  <si>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</si>
  <si>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</si>
  <si>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</si>
  <si>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</si>
  <si>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</si>
  <si>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</si>
  <si>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</si>
  <si>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</si>
  <si>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</si>
  <si>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</si>
  <si>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</si>
  <si>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</si>
  <si>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</si>
  <si>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</si>
  <si>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</si>
  <si>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</si>
  <si>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</si>
  <si>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</si>
  <si>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</si>
  <si>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</si>
  <si>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</si>
  <si>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</si>
  <si>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</si>
  <si>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</si>
  <si>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</si>
  <si>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</si>
  <si>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</si>
  <si>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</si>
  <si>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</si>
  <si>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</si>
  <si>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</si>
  <si>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</si>
  <si>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</si>
  <si>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</si>
  <si>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</si>
  <si>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</si>
  <si>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</si>
  <si>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</si>
  <si>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</si>
  <si>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</si>
  <si>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</si>
  <si>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</si>
  <si>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</si>
  <si>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</si>
  <si>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</si>
  <si>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</si>
  <si>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</si>
  <si>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</si>
  <si>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</si>
  <si>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</si>
  <si>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</si>
  <si>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</si>
  <si>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</si>
  <si>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</si>
  <si>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</si>
  <si>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</si>
  <si>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</si>
  <si>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</si>
  <si>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</si>
  <si>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</si>
  <si>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</si>
  <si>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</si>
  <si>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</si>
  <si>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</si>
  <si>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</si>
  <si>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</si>
  <si>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</si>
  <si>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</si>
  <si>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</si>
  <si>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</si>
  <si>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</si>
  <si>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</si>
  <si>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</si>
  <si>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</si>
  <si>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</si>
  <si>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</si>
  <si>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</si>
  <si>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</si>
  <si>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</si>
  <si>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</si>
  <si>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</si>
  <si>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</si>
  <si>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</si>
  <si>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</si>
  <si>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</si>
  <si>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</si>
  <si>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</si>
  <si>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</si>
  <si>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</si>
  <si>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</si>
  <si>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</si>
  <si>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</si>
  <si>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</si>
  <si>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</si>
  <si>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</si>
  <si>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</si>
  <si>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</si>
  <si>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</si>
  <si>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</si>
  <si>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</si>
  <si>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</si>
  <si>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</si>
  <si>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</si>
  <si>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</si>
  <si>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</si>
  <si>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</si>
  <si>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</si>
  <si>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</si>
  <si>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</si>
  <si>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</si>
  <si>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</si>
  <si>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</si>
  <si>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</si>
  <si>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</si>
  <si>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</si>
  <si>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</si>
  <si>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</si>
  <si>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</si>
  <si>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</si>
  <si>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</si>
  <si>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</si>
  <si>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</si>
  <si>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</si>
  <si>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</si>
  <si>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</si>
  <si>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</si>
  <si>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</si>
  <si>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</si>
  <si>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</si>
  <si>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</si>
  <si>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</si>
  <si>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</si>
  <si>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</si>
  <si>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</si>
  <si>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</si>
  <si>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</si>
  <si>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</si>
  <si>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</si>
  <si>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</si>
  <si>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</si>
  <si>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</si>
  <si>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</si>
  <si>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</si>
  <si>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</si>
  <si>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</si>
  <si>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</si>
  <si>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</si>
  <si>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</si>
  <si>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</si>
  <si>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</si>
  <si>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</si>
  <si>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</si>
  <si>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</si>
  <si>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</si>
  <si>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</si>
  <si>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</si>
  <si>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</si>
  <si>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</si>
  <si>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</si>
  <si>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</si>
  <si>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</si>
  <si>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</si>
  <si>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</si>
  <si>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</si>
  <si>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</si>
  <si>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</si>
  <si>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</si>
  <si>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</si>
  <si>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</si>
  <si>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</si>
  <si>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</si>
  <si>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</si>
  <si>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</si>
  <si>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</si>
  <si>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</si>
  <si>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</si>
  <si>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</si>
  <si>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</si>
  <si>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</si>
  <si>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</si>
  <si>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</si>
  <si>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</si>
  <si>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</si>
  <si>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</si>
  <si>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</si>
  <si>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</si>
  <si>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</si>
  <si>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</si>
  <si>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</si>
  <si>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</si>
  <si>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</si>
  <si>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</si>
  <si>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</si>
  <si>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</si>
  <si>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</si>
  <si>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</si>
  <si>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</si>
  <si>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</si>
  <si>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</si>
  <si>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</si>
  <si>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</si>
  <si>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</si>
  <si>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</si>
  <si>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</si>
  <si>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</si>
  <si>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</si>
  <si>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</si>
  <si>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</si>
  <si>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</si>
  <si>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</si>
  <si>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</si>
  <si>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</si>
  <si>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</si>
  <si>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</si>
  <si>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</si>
  <si>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</si>
  <si>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</si>
  <si>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</si>
  <si>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</si>
  <si>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</si>
  <si>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</si>
  <si>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</si>
  <si>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</si>
  <si>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</si>
  <si>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</si>
  <si>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</si>
  <si>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</si>
  <si>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</si>
  <si>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</si>
  <si>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</si>
  <si>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</si>
  <si>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</si>
  <si>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</si>
  <si>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</si>
  <si>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</si>
  <si>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</si>
  <si>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</si>
  <si>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</si>
  <si>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</si>
  <si>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</si>
  <si>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</si>
  <si>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</si>
  <si>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</si>
  <si>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</si>
  <si>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</si>
  <si>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</si>
  <si>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</si>
  <si>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</si>
  <si>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</si>
  <si>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</si>
  <si>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</si>
  <si>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</si>
  <si>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</si>
  <si>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</si>
  <si>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</si>
  <si>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</si>
  <si>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</si>
  <si>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</si>
  <si>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</si>
  <si>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</si>
  <si>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</si>
  <si>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</si>
  <si>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</si>
  <si>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</si>
  <si>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</si>
  <si>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</si>
  <si>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</si>
  <si>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</si>
  <si>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</si>
  <si>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</si>
  <si>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</si>
  <si>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</si>
  <si>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</si>
  <si>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</si>
  <si>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</si>
  <si>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</si>
  <si>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</si>
  <si>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</si>
  <si>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</si>
  <si>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</si>
  <si>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</si>
  <si>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</si>
  <si>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</si>
  <si>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</si>
  <si>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</si>
  <si>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</si>
  <si>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</si>
  <si>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</si>
  <si>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</si>
  <si>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</si>
  <si>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</si>
  <si>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</si>
  <si>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</si>
  <si>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</si>
  <si>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</si>
  <si>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</si>
  <si>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</si>
  <si>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</si>
  <si>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</si>
  <si>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</si>
  <si>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</si>
  <si>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</si>
  <si>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</si>
  <si>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</si>
  <si>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</si>
  <si>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</si>
  <si>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</si>
  <si>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</si>
  <si>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</si>
  <si>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</si>
  <si>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</si>
  <si>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</si>
  <si>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</si>
  <si>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</si>
  <si>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</si>
  <si>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</si>
  <si>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</si>
  <si>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</si>
  <si>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</si>
  <si>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</si>
  <si>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</si>
  <si>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</si>
  <si>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</si>
  <si>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</si>
  <si>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</si>
  <si>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</si>
  <si>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</si>
  <si>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</si>
  <si>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</si>
  <si>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</si>
  <si>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</si>
  <si>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</si>
  <si>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</si>
  <si>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</si>
  <si>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</si>
  <si>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</si>
  <si>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</si>
  <si>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</si>
  <si>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</si>
  <si>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</si>
  <si>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</si>
  <si>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</si>
  <si>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</si>
  <si>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</si>
  <si>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</si>
  <si>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</si>
  <si>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</si>
  <si>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</si>
  <si>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</si>
  <si>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</si>
  <si>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</si>
  <si>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</si>
  <si>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</si>
  <si>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</si>
  <si>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</si>
  <si>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</si>
  <si>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</si>
  <si>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</si>
  <si>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</si>
  <si>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</si>
  <si>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</si>
  <si>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</si>
  <si>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</si>
  <si>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</si>
  <si>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</si>
  <si>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</si>
  <si>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</si>
  <si>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</si>
  <si>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</si>
  <si>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</si>
  <si>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</si>
  <si>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</si>
  <si>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</si>
  <si>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</si>
  <si>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</si>
  <si>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</si>
  <si>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</si>
  <si>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</si>
  <si>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</si>
  <si>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</si>
  <si>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</si>
  <si>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</si>
  <si>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</si>
  <si>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</si>
  <si>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</si>
  <si>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</si>
  <si>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</si>
  <si>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</si>
  <si>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</si>
  <si>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</si>
  <si>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</si>
  <si>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</si>
  <si>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</si>
  <si>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</si>
  <si>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</si>
  <si>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</si>
  <si>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</si>
  <si>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</si>
  <si>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</si>
  <si>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</si>
  <si>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</si>
  <si>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</si>
  <si>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</si>
  <si>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</si>
  <si>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</si>
  <si>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</si>
  <si>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</si>
  <si>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</si>
  <si>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</si>
  <si>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</si>
  <si>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</si>
  <si>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</si>
  <si>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</si>
  <si>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</si>
  <si>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</si>
  <si>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</si>
  <si>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</si>
  <si>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</si>
  <si>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</si>
  <si>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</si>
  <si>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</si>
  <si>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</si>
  <si>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</si>
  <si>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</si>
  <si>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</si>
  <si>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</si>
  <si>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</si>
  <si>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</si>
  <si>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</si>
  <si>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</si>
  <si>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</si>
  <si>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</si>
  <si>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</si>
  <si>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</si>
  <si>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</si>
  <si>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</si>
  <si>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</si>
  <si>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</si>
  <si>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</si>
  <si>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</si>
  <si>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</si>
  <si>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</si>
  <si>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</si>
  <si>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</si>
  <si>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</si>
  <si>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</si>
  <si>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</si>
  <si>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</si>
  <si>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</si>
  <si>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</si>
  <si>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</si>
  <si>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</si>
  <si>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</si>
  <si>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</si>
  <si>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</si>
  <si>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</si>
  <si>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</si>
  <si>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</si>
  <si>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</si>
  <si>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</si>
  <si>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</si>
  <si>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</si>
  <si>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</si>
  <si>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</si>
  <si>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</si>
  <si>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</si>
  <si>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</si>
  <si>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</si>
  <si>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</si>
  <si>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</si>
  <si>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</si>
  <si>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</si>
  <si>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</si>
  <si>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</si>
  <si>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</si>
  <si>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</si>
  <si>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</si>
  <si>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</si>
  <si>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</si>
  <si>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</si>
  <si>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</si>
  <si>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</si>
  <si>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</si>
  <si>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</si>
  <si>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</si>
  <si>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</si>
  <si>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</si>
  <si>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</si>
  <si>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</si>
  <si>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</si>
  <si>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</si>
  <si>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</si>
  <si>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</si>
  <si>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</si>
  <si>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</si>
  <si>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</si>
  <si>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</si>
  <si>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</si>
  <si>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</si>
  <si>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</si>
  <si>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</si>
  <si>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</si>
  <si>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</si>
  <si>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</si>
  <si>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</si>
  <si>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</si>
  <si>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</si>
  <si>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</si>
  <si>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</si>
  <si>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</si>
  <si>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</si>
  <si>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</si>
  <si>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</si>
  <si>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</si>
  <si>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</si>
  <si>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</si>
  <si>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</si>
  <si>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</si>
  <si>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</si>
  <si>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</si>
  <si>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</si>
  <si>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</si>
  <si>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</si>
  <si>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</si>
  <si>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</si>
  <si>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</si>
  <si>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</si>
  <si>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</si>
  <si>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</si>
  <si>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</si>
  <si>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</si>
  <si>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</si>
  <si>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</si>
  <si>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</si>
  <si>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</si>
  <si>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</si>
  <si>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</si>
  <si>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</si>
  <si>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</si>
  <si>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</si>
  <si>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</si>
  <si>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</si>
  <si>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</si>
  <si>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</si>
  <si>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</si>
  <si>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</si>
  <si>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</si>
  <si>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</si>
  <si>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</si>
  <si>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</si>
  <si>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</si>
  <si>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</si>
  <si>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</si>
  <si>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</si>
  <si>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</si>
  <si>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</si>
  <si>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</si>
  <si>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</si>
  <si>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</si>
  <si>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</si>
  <si>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</si>
  <si>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</si>
  <si>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</si>
  <si>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</si>
  <si>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</si>
  <si>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</si>
  <si>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</si>
  <si>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</si>
  <si>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</si>
  <si>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</si>
  <si>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</si>
  <si>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</si>
  <si>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</si>
  <si>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</si>
  <si>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</si>
  <si>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</si>
  <si>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</si>
  <si>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</si>
  <si>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</si>
  <si>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</si>
  <si>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</si>
  <si>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</si>
  <si>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</si>
  <si>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</si>
  <si>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</si>
  <si>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</si>
  <si>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</si>
  <si>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</si>
  <si>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</si>
  <si>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</si>
  <si>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</si>
  <si>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</si>
  <si>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</si>
  <si>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</si>
  <si>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</si>
  <si>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</si>
  <si>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</si>
  <si>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</si>
  <si>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</si>
  <si>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</si>
  <si>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</si>
  <si>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</si>
  <si>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</si>
  <si>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</si>
  <si>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</si>
  <si>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</si>
  <si>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</si>
  <si>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</si>
  <si>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</si>
  <si>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</si>
  <si>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</si>
  <si>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</si>
  <si>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</si>
  <si>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</si>
  <si>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</si>
  <si>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</si>
  <si>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</si>
  <si>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</si>
  <si>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</si>
  <si>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</si>
  <si>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</si>
  <si>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</si>
  <si>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</si>
  <si>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</si>
  <si>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</si>
  <si>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</si>
  <si>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</si>
  <si>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</si>
  <si>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</si>
  <si>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</si>
  <si>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</si>
  <si>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</si>
  <si>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</si>
  <si>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</si>
  <si>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</si>
  <si>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</si>
  <si>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</si>
  <si>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</si>
  <si>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</si>
  <si>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</si>
  <si>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</si>
  <si>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</si>
  <si>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</si>
  <si>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</si>
  <si>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</si>
  <si>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</si>
  <si>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</si>
  <si>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</si>
  <si>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</si>
  <si>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</si>
  <si>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</si>
  <si>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</si>
  <si>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</si>
  <si>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</si>
  <si>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</si>
  <si>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</si>
  <si>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</si>
  <si>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</si>
  <si>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</si>
  <si>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</si>
  <si>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</si>
  <si>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</si>
  <si>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</si>
  <si>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</si>
  <si>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</si>
  <si>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</si>
  <si>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</si>
  <si>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</si>
  <si>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</si>
  <si>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</si>
  <si>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</si>
  <si>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</si>
  <si>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</si>
  <si>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</si>
  <si>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</si>
  <si>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</si>
  <si>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</si>
  <si>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</si>
  <si>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</si>
  <si>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</si>
  <si>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</si>
  <si>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</si>
  <si>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</si>
  <si>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</si>
  <si>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</si>
  <si>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</si>
  <si>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</si>
  <si>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</si>
  <si>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</si>
  <si>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</si>
  <si>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</si>
  <si>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</si>
  <si>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</si>
  <si>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</si>
  <si>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</si>
  <si>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</si>
  <si>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</si>
  <si>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</si>
  <si>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</si>
  <si>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</si>
  <si>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</si>
  <si>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</si>
  <si>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</si>
  <si>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</si>
  <si>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</si>
  <si>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</si>
  <si>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</si>
  <si>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</si>
  <si>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</si>
  <si>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</si>
  <si>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</si>
  <si>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</si>
  <si>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</si>
  <si>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</si>
  <si>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</si>
  <si>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</si>
  <si>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</si>
  <si>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</si>
  <si>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</si>
  <si>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</si>
  <si>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</si>
  <si>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</si>
  <si>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</si>
  <si>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</si>
  <si>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</si>
  <si>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</si>
  <si>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</si>
  <si>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</si>
  <si>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</si>
  <si>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</si>
  <si>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</si>
  <si>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</si>
  <si>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</si>
  <si>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</si>
  <si>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</si>
  <si>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</si>
  <si>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</si>
  <si>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</si>
  <si>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</si>
  <si>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</si>
  <si>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</si>
  <si>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</si>
  <si>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</si>
  <si>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</si>
  <si>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</si>
  <si>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</si>
  <si>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</si>
  <si>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</si>
  <si>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</si>
  <si>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</si>
  <si>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</si>
  <si>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</si>
  <si>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</si>
  <si>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</si>
  <si>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</si>
  <si>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</si>
  <si>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</si>
  <si>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</si>
  <si>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</si>
  <si>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</si>
  <si>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</si>
  <si>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</si>
  <si>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</si>
  <si>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</si>
  <si>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</si>
  <si>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</si>
  <si>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</si>
  <si>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</si>
  <si>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</si>
  <si>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</si>
  <si>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</si>
  <si>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</si>
  <si>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</si>
  <si>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</si>
  <si>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</si>
  <si>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</si>
  <si>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</si>
  <si>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</si>
  <si>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</si>
  <si>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</si>
  <si>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</si>
  <si>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</si>
  <si>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</si>
  <si>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</si>
  <si>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</si>
  <si>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</si>
  <si>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</si>
  <si>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</si>
  <si>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</si>
  <si>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</si>
  <si>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</si>
  <si>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</si>
  <si>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</si>
  <si>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</si>
  <si>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</si>
  <si>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</si>
  <si>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</si>
  <si>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</si>
  <si>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</si>
  <si>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</si>
  <si>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</si>
  <si>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</si>
  <si>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</si>
  <si>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</si>
  <si>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</si>
  <si>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</si>
  <si>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</si>
  <si>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</si>
  <si>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</si>
  <si>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</si>
  <si>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</si>
  <si>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</si>
  <si>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</si>
  <si>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</si>
  <si>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</si>
  <si>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</si>
  <si>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</si>
  <si>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</si>
  <si>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</si>
  <si>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</si>
  <si>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</si>
  <si>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</si>
  <si>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</si>
  <si>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</si>
  <si>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</si>
  <si>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</si>
  <si>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</si>
  <si>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</si>
  <si>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</si>
  <si>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</si>
  <si>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</si>
  <si>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</si>
  <si>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</si>
  <si>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</si>
  <si>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</si>
  <si>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</si>
  <si>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</si>
  <si>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</si>
  <si>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</si>
  <si>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</si>
  <si>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</si>
  <si>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</si>
  <si>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</si>
  <si>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</si>
  <si>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</si>
  <si>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</si>
  <si>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</si>
  <si>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</si>
  <si>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</si>
  <si>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</si>
  <si>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</si>
  <si>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</si>
  <si>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</si>
  <si>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</si>
  <si>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</si>
  <si>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</si>
  <si>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</si>
  <si>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</si>
  <si>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</si>
  <si>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</si>
  <si>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</si>
  <si>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</si>
  <si>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</si>
  <si>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</si>
  <si>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</si>
  <si>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</si>
  <si>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</si>
  <si>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</si>
  <si>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</si>
  <si>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</si>
  <si>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</si>
  <si>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</si>
  <si>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</si>
  <si>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</si>
  <si>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</si>
  <si>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</si>
  <si>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</si>
  <si>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</si>
  <si>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</si>
  <si>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</si>
  <si>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</si>
  <si>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</si>
  <si>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</si>
  <si>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</si>
  <si>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</si>
  <si>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</si>
  <si>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</si>
  <si>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</si>
  <si>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</si>
  <si>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</si>
  <si>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</si>
  <si>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</si>
  <si>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</si>
  <si>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</si>
  <si>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</si>
  <si>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</si>
  <si>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</si>
  <si>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</si>
  <si>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</si>
  <si>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</si>
  <si>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</si>
  <si>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</si>
  <si>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</si>
  <si>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</si>
  <si>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</si>
  <si>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</si>
  <si>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</si>
  <si>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</si>
  <si>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</si>
  <si>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</si>
  <si>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</si>
  <si>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</si>
  <si>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</si>
  <si>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</si>
  <si>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</si>
  <si>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</si>
  <si>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</si>
  <si>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</si>
  <si>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</si>
  <si>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</si>
  <si>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</si>
  <si>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</si>
  <si>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</si>
  <si>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</si>
  <si>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</si>
  <si>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</si>
  <si>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</si>
  <si>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</si>
  <si>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</si>
  <si>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</si>
  <si>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</si>
  <si>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</si>
  <si>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</si>
  <si>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</si>
  <si>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</si>
  <si>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</si>
  <si>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</si>
  <si>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</si>
  <si>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</si>
  <si>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</si>
  <si>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</si>
  <si>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</si>
  <si>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</si>
  <si>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</si>
  <si>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</si>
  <si>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</si>
  <si>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</si>
  <si>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</si>
  <si>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</si>
  <si>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</si>
  <si>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</si>
  <si>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</si>
  <si>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</si>
  <si>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</si>
  <si>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</si>
  <si>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</si>
  <si>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</si>
  <si>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</si>
  <si>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</si>
  <si>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</si>
  <si>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</si>
  <si>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</si>
  <si>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</si>
  <si>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</si>
  <si>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</si>
  <si>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</si>
  <si>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</si>
  <si>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</si>
  <si>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</si>
  <si>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</si>
  <si>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</si>
  <si>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</si>
  <si>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</si>
  <si>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</si>
  <si>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</si>
  <si>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</si>
  <si>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</si>
  <si>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</si>
  <si>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</si>
  <si>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</si>
  <si>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</si>
  <si>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</si>
  <si>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</si>
  <si>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</si>
  <si>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</si>
  <si>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</si>
  <si>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</si>
  <si>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</si>
  <si>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</si>
  <si>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</si>
  <si>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</si>
  <si>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</si>
  <si>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</si>
  <si>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</si>
  <si>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</si>
  <si>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</si>
  <si>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</si>
  <si>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</si>
  <si>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</si>
  <si>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</si>
  <si>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</si>
  <si>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</si>
  <si>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</si>
  <si>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</si>
  <si>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</si>
  <si>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</si>
  <si>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</si>
  <si>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</si>
  <si>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</si>
  <si>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</si>
  <si>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</si>
  <si>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</si>
  <si>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</si>
  <si>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</si>
  <si>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</si>
  <si>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</si>
  <si>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</si>
  <si>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</si>
  <si>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</si>
  <si>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</si>
  <si>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</si>
  <si>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</si>
  <si>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</si>
  <si>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</si>
  <si>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</si>
  <si>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</si>
  <si>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</si>
  <si>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</si>
  <si>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</si>
  <si>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</si>
  <si>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</si>
  <si>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</si>
  <si>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</si>
  <si>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</si>
  <si>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</si>
  <si>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</si>
  <si>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</si>
  <si>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</si>
  <si>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</si>
  <si>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</si>
  <si>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</si>
  <si>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</si>
  <si>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</si>
  <si>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</si>
  <si>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</si>
  <si>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</si>
  <si>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</si>
  <si>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</si>
  <si>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</si>
  <si>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</si>
  <si>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</si>
  <si>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</si>
  <si>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</si>
  <si>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</si>
  <si>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</si>
  <si>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</si>
  <si>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</si>
  <si>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</si>
  <si>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</si>
  <si>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</si>
  <si>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</si>
  <si>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</si>
  <si>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</si>
  <si>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</si>
  <si>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</si>
  <si>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</si>
  <si>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</si>
  <si>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</si>
  <si>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</si>
  <si>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</si>
  <si>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</si>
  <si>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</si>
  <si>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</si>
  <si>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</si>
  <si>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</si>
  <si>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</si>
  <si>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</si>
  <si>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</si>
  <si>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</si>
  <si>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</si>
  <si>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</si>
  <si>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</si>
  <si>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</si>
  <si>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</si>
  <si>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</si>
  <si>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</si>
  <si>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</si>
  <si>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</si>
  <si>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</si>
  <si>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</si>
  <si>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</si>
  <si>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</si>
  <si>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</si>
  <si>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</si>
  <si>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</si>
  <si>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</si>
  <si>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</si>
  <si>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</si>
  <si>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</si>
  <si>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</si>
  <si>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</si>
  <si>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</si>
  <si>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</si>
  <si>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</si>
  <si>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</si>
  <si>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</si>
  <si>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</si>
  <si>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</si>
  <si>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</si>
  <si>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</si>
  <si>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</si>
  <si>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</si>
  <si>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</si>
  <si>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</si>
  <si>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</si>
  <si>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</si>
  <si>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</si>
  <si>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</si>
  <si>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</si>
  <si>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</si>
  <si>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</si>
  <si>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</si>
  <si>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</si>
  <si>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</si>
  <si>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</si>
  <si>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</si>
  <si>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</si>
  <si>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</si>
  <si>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</si>
  <si>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</si>
  <si>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</si>
  <si>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</si>
  <si>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</si>
  <si>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</si>
  <si>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</si>
  <si>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</si>
  <si>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</si>
  <si>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</si>
  <si>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</si>
  <si>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</si>
  <si>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</si>
  <si>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</si>
  <si>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</si>
  <si>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</si>
  <si>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</si>
  <si>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</si>
  <si>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</si>
  <si>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</si>
  <si>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</si>
  <si>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</si>
  <si>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</si>
  <si>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</si>
  <si>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</si>
  <si>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</si>
  <si>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</si>
  <si>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</si>
  <si>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</si>
  <si>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</si>
  <si>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</si>
  <si>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</si>
  <si>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</si>
  <si>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</si>
  <si>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</si>
  <si>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</si>
  <si>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</si>
  <si>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</si>
  <si>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</si>
  <si>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</si>
  <si>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</si>
  <si>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</si>
  <si>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</si>
  <si>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</si>
  <si>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</si>
  <si>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</si>
  <si>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</si>
  <si>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</si>
  <si>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</si>
  <si>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</si>
  <si>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</si>
  <si>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</si>
  <si>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</si>
  <si>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</si>
  <si>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</si>
  <si>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</si>
  <si>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</si>
  <si>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</si>
  <si>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</si>
  <si>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</si>
  <si>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</si>
  <si>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</si>
  <si>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</si>
  <si>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</si>
  <si>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</si>
  <si>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</si>
  <si>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</si>
  <si>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</si>
  <si>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</si>
  <si>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</si>
  <si>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</si>
  <si>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</si>
  <si>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</si>
  <si>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</si>
  <si>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</si>
  <si>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</si>
  <si>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</si>
  <si>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</si>
  <si>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</si>
  <si>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</si>
  <si>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</si>
  <si>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</si>
  <si>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</si>
  <si>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</si>
  <si>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</si>
  <si>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</si>
  <si>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</si>
  <si>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</si>
  <si>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</si>
  <si>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</si>
  <si>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</si>
  <si>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</si>
  <si>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</si>
  <si>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</si>
  <si>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</si>
  <si>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</si>
  <si>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</si>
  <si>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</si>
  <si>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</si>
  <si>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</si>
  <si>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</si>
  <si>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</si>
  <si>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</si>
  <si>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</si>
  <si>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</si>
  <si>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</si>
  <si>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</si>
  <si>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</si>
  <si>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</si>
  <si>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</si>
  <si>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</si>
  <si>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</si>
  <si>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</si>
  <si>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</si>
  <si>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</si>
  <si>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</si>
  <si>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</si>
  <si>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</si>
  <si>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</si>
  <si>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</si>
  <si>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</si>
  <si>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</si>
  <si>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</si>
  <si>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</si>
  <si>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</si>
  <si>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</si>
  <si>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</si>
  <si>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</si>
  <si>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</si>
  <si>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</si>
  <si>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</si>
  <si>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</si>
  <si>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</si>
  <si>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</si>
  <si>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</si>
  <si>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</si>
  <si>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</si>
  <si>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</si>
  <si>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</si>
  <si>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</si>
  <si>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</si>
  <si>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</si>
  <si>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</si>
  <si>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</si>
  <si>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</si>
  <si>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</si>
  <si>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</si>
  <si>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</si>
  <si>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</si>
  <si>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</si>
  <si>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</si>
  <si>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</si>
  <si>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</si>
  <si>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</si>
  <si>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</si>
  <si>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</si>
  <si>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</si>
  <si>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</si>
  <si>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</si>
  <si>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</si>
  <si>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</si>
  <si>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</si>
  <si>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</si>
  <si>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</si>
  <si>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</si>
  <si>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</si>
  <si>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</si>
  <si>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</si>
  <si>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</si>
  <si>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</si>
  <si>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</si>
  <si>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</si>
  <si>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</si>
  <si>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</si>
  <si>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</si>
  <si>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</si>
  <si>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</si>
  <si>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</si>
  <si>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</si>
  <si>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</si>
  <si>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</si>
  <si>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</si>
  <si>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</si>
  <si>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</si>
  <si>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</si>
  <si>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</si>
  <si>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</si>
  <si>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</si>
  <si>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</si>
  <si>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</si>
  <si>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</si>
  <si>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</si>
  <si>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</si>
  <si>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</si>
  <si>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</si>
  <si>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</si>
  <si>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</si>
  <si>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</si>
  <si>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</si>
  <si>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</si>
  <si>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</si>
  <si>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</si>
  <si>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</si>
  <si>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</si>
  <si>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</si>
  <si>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</si>
  <si>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</si>
  <si>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</si>
  <si>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</si>
  <si>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</si>
  <si>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</si>
  <si>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</si>
  <si>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</si>
  <si>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</si>
  <si>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</si>
  <si>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</si>
  <si>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</si>
  <si>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</si>
  <si>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</si>
  <si>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</si>
  <si>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</si>
  <si>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</si>
  <si>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</si>
  <si>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</si>
  <si>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</si>
  <si>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</si>
  <si>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</si>
  <si>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</si>
  <si>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</si>
  <si>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</si>
  <si>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</si>
  <si>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</si>
  <si>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</si>
  <si>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</si>
  <si>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</si>
  <si>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</si>
  <si>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</si>
  <si>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</si>
  <si>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</si>
  <si>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</si>
  <si>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</si>
  <si>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</si>
  <si>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</si>
  <si>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</si>
  <si>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</si>
  <si>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</si>
  <si>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</si>
  <si>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</si>
  <si>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</si>
  <si>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</si>
  <si>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</si>
  <si>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</si>
  <si>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</si>
  <si>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</si>
  <si>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</si>
  <si>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</si>
  <si>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</si>
  <si>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</si>
  <si>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</si>
  <si>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</si>
  <si>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</si>
  <si>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</si>
  <si>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</si>
  <si>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</si>
  <si>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</si>
  <si>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</si>
  <si>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</si>
  <si>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</si>
  <si>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</si>
  <si>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</si>
  <si>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</si>
  <si>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</si>
  <si>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</si>
  <si>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</si>
  <si>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</si>
  <si>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</si>
  <si>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</si>
  <si>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</si>
  <si>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</si>
  <si>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</si>
  <si>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</si>
  <si>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</si>
  <si>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</si>
  <si>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</si>
  <si>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</si>
  <si>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</si>
  <si>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</si>
  <si>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</si>
  <si>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</si>
  <si>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</si>
  <si>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</si>
  <si>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</si>
  <si>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</si>
  <si>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</si>
  <si>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</si>
  <si>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</si>
  <si>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</si>
  <si>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</si>
  <si>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</si>
  <si>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</si>
  <si>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</si>
  <si>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</si>
  <si>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</si>
  <si>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</si>
  <si>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</si>
  <si>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</si>
  <si>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</si>
  <si>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</si>
  <si>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</si>
  <si>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</si>
  <si>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</si>
  <si>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</si>
  <si>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</si>
  <si>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</si>
  <si>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</si>
  <si>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</si>
  <si>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</si>
  <si>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</si>
  <si>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</si>
  <si>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</si>
  <si>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</si>
  <si>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</si>
  <si>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</si>
  <si>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</si>
  <si>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</si>
  <si>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</si>
  <si>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</si>
  <si>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</si>
  <si>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</si>
  <si>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</si>
  <si>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</si>
  <si>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</si>
  <si>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</si>
  <si>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</si>
  <si>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</si>
  <si>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</si>
  <si>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</si>
  <si>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</si>
  <si>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</si>
  <si>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</si>
  <si>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</si>
  <si>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</si>
  <si>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</si>
  <si>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</si>
  <si>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</si>
  <si>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</si>
  <si>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</si>
  <si>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</si>
  <si>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</si>
  <si>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</si>
  <si>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</si>
  <si>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</si>
  <si>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</si>
  <si>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</si>
  <si>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</si>
  <si>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</si>
  <si>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</si>
  <si>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</si>
  <si>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</si>
  <si>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</si>
  <si>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</si>
  <si>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</si>
  <si>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</si>
  <si>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</si>
  <si>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</si>
  <si>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</si>
  <si>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</si>
  <si>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</si>
  <si>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</si>
  <si>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</si>
  <si>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</si>
  <si>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</si>
  <si>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</si>
  <si>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</si>
  <si>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</si>
  <si>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</si>
  <si>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</si>
  <si>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</si>
  <si>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</si>
  <si>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</si>
  <si>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</si>
  <si>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</si>
  <si>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</si>
  <si>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</si>
  <si>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</si>
  <si>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</si>
  <si>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</si>
  <si>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</si>
  <si>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</si>
  <si>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</si>
  <si>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</si>
  <si>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</si>
  <si>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</si>
  <si>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</si>
  <si>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</si>
  <si>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</si>
  <si>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</si>
  <si>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</si>
  <si>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</si>
  <si>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</si>
  <si>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</si>
  <si>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</si>
  <si>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</si>
  <si>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</si>
  <si>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</si>
  <si>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</si>
  <si>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</si>
  <si>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</si>
  <si>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</si>
  <si>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</si>
  <si>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</si>
  <si>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</si>
  <si>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</si>
  <si>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</si>
  <si>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</si>
  <si>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</si>
  <si>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</si>
  <si>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</si>
  <si>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</si>
  <si>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</si>
  <si>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</si>
  <si>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</si>
  <si>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</si>
  <si>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</si>
  <si>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</si>
  <si>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</si>
  <si>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</si>
  <si>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</si>
  <si>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</si>
  <si>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</si>
  <si>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</si>
  <si>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</si>
  <si>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</si>
  <si>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</si>
  <si>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</si>
  <si>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</si>
  <si>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</si>
  <si>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</si>
  <si>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</si>
  <si>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</si>
  <si>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</si>
  <si>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</si>
  <si>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</si>
  <si>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</si>
  <si>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</si>
  <si>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</si>
  <si>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</si>
  <si>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</si>
  <si>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</si>
  <si>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</si>
  <si>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</si>
  <si>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</si>
  <si>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</si>
  <si>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</si>
  <si>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</si>
  <si>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</si>
  <si>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</si>
  <si>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</si>
  <si>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</si>
  <si>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</si>
  <si>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</si>
  <si>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</si>
  <si>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</si>
  <si>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</si>
  <si>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</si>
  <si>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</si>
  <si>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</si>
  <si>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</si>
  <si>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</si>
  <si>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</si>
  <si>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</si>
  <si>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</si>
  <si>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</si>
  <si>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</si>
  <si>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</si>
  <si>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</si>
  <si>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</si>
  <si>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</si>
  <si>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</si>
  <si>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</si>
  <si>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</si>
  <si>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</si>
  <si>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</si>
  <si>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</si>
  <si>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</si>
  <si>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</si>
  <si>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</si>
  <si>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</si>
  <si>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</si>
  <si>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</si>
  <si>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</si>
  <si>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</si>
  <si>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</si>
  <si>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</si>
  <si>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</si>
  <si>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</si>
  <si>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</si>
  <si>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</si>
  <si>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</si>
  <si>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</si>
  <si>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</si>
  <si>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</si>
  <si>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</si>
  <si>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</si>
  <si>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</si>
  <si>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</si>
  <si>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</si>
  <si>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</si>
  <si>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</si>
  <si>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</si>
  <si>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</si>
  <si>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</si>
  <si>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</si>
  <si>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</si>
  <si>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</si>
  <si>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</si>
  <si>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</si>
  <si>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</si>
  <si>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</si>
  <si>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</si>
  <si>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</si>
  <si>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</si>
  <si>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</si>
  <si>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</si>
  <si>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</si>
  <si>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</si>
  <si>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</si>
  <si>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</si>
  <si>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</si>
  <si>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</si>
  <si>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</si>
  <si>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</si>
  <si>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</si>
  <si>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</si>
  <si>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</si>
  <si>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</si>
  <si>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</si>
  <si>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</si>
  <si>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</si>
  <si>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</si>
  <si>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</si>
  <si>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</si>
  <si>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</si>
  <si>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</si>
  <si>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</si>
  <si>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</si>
  <si>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</si>
  <si>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</si>
  <si>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</si>
  <si>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</si>
  <si>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</si>
  <si>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</si>
  <si>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</si>
  <si>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</si>
  <si>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</si>
  <si>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</si>
  <si>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</si>
  <si>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</si>
  <si>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</si>
  <si>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</si>
  <si>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</si>
  <si>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</si>
  <si>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</si>
  <si>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</si>
  <si>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</si>
  <si>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</si>
  <si>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</si>
  <si>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</si>
  <si>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</si>
  <si>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</si>
  <si>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</si>
  <si>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</si>
  <si>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</si>
  <si>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</si>
  <si>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</si>
  <si>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</si>
  <si>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</si>
  <si>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</si>
  <si>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</si>
  <si>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</si>
  <si>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</si>
  <si>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</si>
  <si>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</si>
  <si>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</si>
  <si>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</si>
  <si>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</si>
  <si>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</si>
  <si>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</si>
  <si>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</si>
  <si>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</si>
  <si>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</si>
  <si>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</si>
  <si>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</si>
  <si>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</si>
  <si>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</si>
  <si>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</si>
  <si>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</si>
  <si>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</si>
  <si>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</si>
  <si>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</si>
  <si>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</si>
  <si>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</si>
  <si>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</si>
  <si>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</si>
  <si>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</si>
  <si>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</si>
  <si>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</si>
  <si>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</si>
  <si>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</si>
  <si>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</si>
  <si>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</si>
  <si>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</si>
  <si>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</si>
  <si>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</si>
  <si>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</si>
  <si>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</si>
  <si>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</si>
  <si>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</si>
  <si>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</si>
  <si>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</si>
  <si>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</si>
  <si>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</si>
  <si>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</si>
  <si>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</si>
  <si>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</si>
  <si>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</si>
  <si>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</si>
  <si>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</si>
  <si>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</si>
  <si>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</si>
  <si>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</si>
  <si>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</si>
  <si>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</si>
  <si>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</si>
  <si>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</si>
  <si>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</si>
  <si>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</si>
  <si>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</si>
  <si>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</si>
  <si>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</si>
  <si>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</si>
  <si>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</si>
  <si>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</si>
  <si>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</si>
  <si>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</si>
  <si>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</si>
  <si>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</si>
  <si>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</si>
  <si>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</si>
  <si>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</si>
  <si>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</si>
  <si>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</si>
  <si>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</si>
  <si>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</si>
  <si>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</si>
  <si>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</si>
  <si>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</si>
  <si>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</si>
  <si>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</si>
  <si>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</si>
  <si>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</si>
  <si>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</si>
  <si>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</si>
  <si>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</si>
  <si>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</si>
  <si>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</si>
  <si>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</si>
  <si>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</si>
  <si>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</si>
  <si>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</si>
  <si>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</si>
  <si>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</si>
  <si>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</si>
  <si>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</si>
  <si>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</si>
  <si>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</si>
  <si>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</si>
  <si>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</si>
  <si>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</si>
  <si>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</si>
  <si>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</si>
  <si>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</si>
  <si>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</si>
  <si>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</si>
  <si>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</si>
  <si>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</si>
  <si>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</si>
  <si>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</si>
  <si>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</si>
  <si>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</si>
  <si>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</si>
  <si>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</si>
  <si>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</si>
  <si>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</si>
  <si>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</si>
  <si>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</si>
  <si>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</si>
  <si>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</si>
  <si>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</si>
  <si>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</si>
  <si>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</si>
  <si>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</si>
  <si>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</si>
  <si>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</si>
  <si>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</si>
  <si>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</si>
  <si>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</si>
  <si>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</si>
  <si>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</si>
  <si>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</si>
  <si>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</si>
  <si>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</si>
  <si>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</si>
  <si>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</si>
  <si>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</si>
  <si>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</si>
  <si>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</si>
  <si>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</si>
  <si>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</si>
  <si>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</si>
  <si>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</si>
  <si>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</si>
  <si>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</si>
  <si>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</si>
  <si>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</si>
  <si>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</si>
  <si>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</si>
  <si>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</si>
  <si>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</si>
  <si>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</si>
  <si>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</si>
  <si>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</si>
  <si>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</si>
  <si>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</si>
  <si>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</si>
  <si>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</si>
  <si>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</si>
  <si>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</si>
  <si>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</si>
  <si>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</si>
  <si>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</si>
  <si>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</si>
  <si>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</si>
  <si>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</si>
  <si>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</si>
  <si>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</si>
  <si>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</si>
  <si>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</si>
  <si>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</si>
  <si>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</si>
  <si>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</si>
  <si>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</si>
  <si>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</si>
  <si>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</si>
  <si>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</si>
  <si>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</si>
  <si>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</si>
  <si>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</si>
  <si>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</si>
  <si>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</si>
  <si>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</si>
  <si>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</si>
  <si>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</si>
  <si>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</si>
  <si>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</si>
  <si>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</si>
  <si>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</si>
  <si>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</si>
  <si>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</si>
  <si>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</si>
  <si>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</si>
  <si>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</si>
  <si>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</si>
  <si>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</si>
  <si>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</si>
  <si>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</si>
  <si>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</si>
  <si>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</si>
  <si>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</si>
  <si>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</si>
  <si>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</si>
  <si>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</si>
  <si>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</si>
  <si>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</si>
  <si>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</si>
  <si>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</si>
  <si>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</si>
  <si>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</si>
  <si>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</si>
  <si>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</si>
  <si>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</si>
  <si>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</si>
  <si>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</si>
  <si>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</si>
  <si>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</si>
  <si>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</si>
  <si>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</si>
  <si>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</si>
  <si>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</si>
  <si>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</si>
  <si>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</si>
  <si>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</si>
  <si>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</si>
  <si>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</si>
  <si>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</si>
  <si>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</si>
  <si>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</si>
  <si>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</si>
  <si>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</si>
  <si>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</si>
  <si>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</si>
  <si>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</si>
  <si>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</si>
  <si>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</si>
  <si>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</si>
  <si>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</si>
  <si>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</si>
  <si>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</si>
  <si>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</si>
  <si>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</si>
  <si>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</si>
  <si>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</si>
  <si>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</si>
  <si>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</si>
  <si>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</si>
  <si>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</si>
  <si>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</si>
  <si>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</si>
  <si>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</si>
  <si>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</si>
  <si>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</si>
  <si>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</si>
  <si>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</si>
  <si>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</si>
  <si>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</si>
  <si>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</si>
  <si>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</si>
  <si>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</si>
  <si>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</si>
  <si>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</si>
  <si>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</si>
  <si>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</si>
  <si>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</si>
  <si>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</si>
  <si>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</si>
  <si>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</si>
  <si>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</si>
  <si>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</si>
  <si>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</si>
  <si>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</si>
  <si>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</si>
  <si>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</si>
  <si>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</si>
  <si>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</si>
  <si>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</si>
  <si>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</si>
  <si>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</si>
  <si>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</si>
  <si>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</si>
  <si>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</si>
  <si>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</si>
  <si>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</si>
  <si>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</si>
  <si>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</si>
  <si>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</si>
  <si>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</si>
  <si>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</si>
  <si>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</si>
  <si>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</si>
  <si>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</si>
  <si>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</si>
  <si>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</si>
  <si>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</si>
  <si>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</si>
  <si>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</si>
  <si>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</si>
  <si>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</si>
  <si>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</si>
  <si>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</si>
  <si>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</si>
  <si>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</si>
  <si>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</si>
  <si>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</si>
  <si>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</si>
  <si>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</si>
  <si>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</si>
  <si>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</si>
  <si>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</si>
  <si>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</si>
  <si>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</si>
  <si>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</si>
  <si>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</si>
  <si>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</si>
  <si>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</si>
  <si>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</si>
  <si>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</si>
  <si>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</si>
  <si>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</si>
  <si>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</si>
  <si>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</si>
  <si>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</si>
  <si>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</si>
  <si>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</si>
  <si>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</si>
  <si>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</si>
  <si>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</si>
  <si>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</si>
  <si>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</si>
  <si>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</si>
  <si>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</si>
  <si>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</si>
  <si>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</si>
  <si>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</si>
  <si>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</si>
  <si>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</si>
  <si>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</si>
  <si>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</si>
  <si>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</si>
  <si>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</si>
  <si>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</si>
  <si>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</si>
  <si>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</si>
  <si>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</si>
  <si>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</si>
  <si>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</si>
  <si>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</si>
  <si>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</si>
  <si>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</si>
  <si>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</si>
  <si>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</si>
  <si>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</si>
  <si>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</si>
  <si>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</si>
  <si>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</si>
  <si>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</si>
  <si>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</si>
  <si>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</si>
  <si>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</si>
  <si>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</si>
  <si>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</si>
  <si>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</si>
  <si>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</si>
  <si>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</si>
  <si>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</si>
  <si>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</si>
  <si>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</si>
  <si>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</si>
  <si>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</si>
  <si>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</si>
  <si>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</si>
  <si>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</si>
  <si>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</si>
  <si>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</si>
  <si>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</si>
  <si>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</si>
  <si>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</si>
  <si>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</si>
  <si>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</si>
  <si>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</si>
  <si>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</si>
  <si>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</si>
  <si>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</si>
  <si>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</si>
  <si>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</si>
  <si>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</si>
  <si>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</si>
  <si>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</si>
  <si>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</si>
  <si>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</si>
  <si>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</si>
  <si>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</si>
  <si>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</si>
  <si>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</si>
  <si>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</si>
  <si>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</si>
  <si>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</si>
  <si>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</si>
  <si>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</si>
  <si>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</si>
  <si>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</si>
  <si>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</si>
  <si>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</si>
  <si>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</si>
  <si>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</si>
  <si>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</si>
  <si>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</si>
  <si>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</si>
  <si>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</si>
  <si>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</si>
  <si>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</si>
  <si>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</si>
  <si>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</si>
  <si>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</si>
  <si>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</si>
  <si>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</si>
  <si>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</si>
  <si>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</si>
  <si>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</si>
  <si>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</si>
  <si>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</si>
  <si>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</si>
  <si>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</si>
  <si>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</si>
  <si>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</si>
  <si>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</si>
  <si>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</si>
  <si>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</si>
  <si>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</si>
  <si>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</si>
  <si>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</si>
  <si>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</si>
  <si>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</si>
  <si>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</si>
  <si>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</si>
  <si>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</si>
  <si>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</si>
  <si>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</si>
  <si>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</si>
  <si>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</si>
  <si>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</si>
  <si>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</si>
  <si>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</si>
  <si>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</si>
  <si>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</si>
  <si>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</si>
  <si>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</si>
  <si>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</si>
  <si>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</si>
  <si>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</si>
  <si>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</si>
  <si>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</si>
  <si>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</si>
  <si>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</si>
  <si>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</si>
  <si>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</si>
  <si>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</si>
  <si>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</si>
  <si>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</si>
  <si>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</si>
  <si>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</si>
  <si>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</si>
  <si>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</si>
  <si>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</si>
  <si>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</si>
  <si>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</si>
  <si>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</si>
  <si>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</si>
  <si>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</si>
  <si>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</si>
  <si>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</si>
  <si>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</si>
  <si>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</si>
  <si>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</si>
  <si>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</si>
  <si>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</si>
  <si>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</si>
  <si>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</si>
  <si>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</si>
  <si>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</si>
  <si>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</si>
  <si>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</si>
  <si>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</si>
  <si>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</si>
  <si>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</si>
  <si>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</si>
  <si>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</si>
  <si>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</si>
  <si>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</si>
  <si>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</si>
  <si>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</si>
  <si>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</si>
  <si>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</si>
  <si>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</si>
  <si>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</si>
  <si>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</si>
  <si>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</si>
  <si>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</si>
  <si>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</si>
  <si>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</si>
  <si>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</si>
  <si>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</si>
  <si>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</si>
  <si>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</si>
  <si>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</si>
  <si>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</si>
  <si>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</si>
  <si>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</si>
  <si>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</si>
  <si>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</si>
  <si>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</si>
  <si>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</si>
  <si>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</si>
  <si>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</si>
  <si>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</si>
  <si>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</si>
  <si>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</si>
  <si>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</si>
  <si>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</si>
  <si>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</si>
  <si>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</si>
  <si>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</si>
  <si>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</si>
  <si>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</si>
  <si>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</si>
  <si>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</si>
  <si>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</si>
  <si>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</si>
  <si>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</si>
  <si>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</si>
  <si>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</si>
  <si>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</si>
  <si>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</si>
  <si>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</si>
  <si>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</si>
  <si>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</si>
  <si>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</si>
  <si>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</si>
  <si>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</si>
  <si>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</si>
  <si>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</si>
  <si>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</si>
  <si>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</si>
  <si>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</si>
  <si>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</si>
  <si>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</si>
  <si>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</si>
  <si>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</si>
  <si>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</si>
  <si>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</si>
  <si>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</si>
  <si>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</si>
  <si>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</si>
  <si>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</si>
  <si>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</si>
  <si>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</si>
  <si>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</si>
  <si>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</si>
  <si>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</si>
  <si>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</si>
  <si>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</si>
  <si>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</si>
  <si>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</si>
  <si>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</si>
  <si>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</si>
  <si>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</si>
  <si>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</si>
  <si>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</si>
  <si>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</si>
  <si>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</si>
  <si>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</si>
  <si>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</si>
  <si>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</si>
  <si>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</si>
  <si>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</si>
  <si>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</si>
  <si>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</si>
  <si>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</si>
  <si>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</si>
  <si>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</si>
  <si>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</si>
  <si>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</si>
  <si>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</si>
  <si>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</si>
  <si>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</si>
  <si>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</si>
  <si>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</si>
  <si>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</si>
  <si>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</si>
  <si>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</si>
  <si>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</si>
  <si>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</si>
  <si>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</si>
  <si>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</si>
  <si>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</si>
  <si>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</si>
  <si>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</si>
  <si>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</si>
  <si>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</si>
  <si>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</si>
  <si>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</si>
  <si>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</si>
  <si>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</si>
  <si>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</si>
  <si>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</si>
  <si>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</si>
  <si>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</si>
  <si>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</si>
  <si>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</si>
  <si>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</si>
  <si>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</si>
  <si>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</si>
  <si>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</si>
  <si>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</si>
  <si>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</si>
  <si>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</si>
  <si>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</si>
  <si>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</si>
  <si>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</si>
  <si>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</si>
  <si>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</si>
  <si>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</si>
  <si>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</si>
  <si>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</si>
  <si>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</si>
  <si>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</si>
  <si>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</si>
  <si>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</si>
  <si>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</si>
  <si>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</si>
  <si>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</si>
  <si>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</si>
  <si>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</si>
  <si>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</si>
  <si>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</si>
  <si>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</si>
  <si>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</si>
  <si>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</si>
  <si>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</si>
  <si>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</si>
  <si>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</si>
  <si>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</si>
  <si>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</si>
  <si>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</si>
  <si>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</si>
  <si>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</si>
  <si>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</si>
  <si>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</si>
  <si>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</si>
  <si>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</si>
  <si>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</si>
  <si>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</si>
  <si>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</si>
  <si>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</si>
  <si>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</si>
  <si>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</si>
  <si>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</si>
  <si>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</si>
  <si>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</si>
  <si>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</si>
  <si>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</si>
  <si>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</si>
  <si>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</si>
  <si>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</si>
  <si>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</si>
  <si>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</si>
  <si>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</si>
  <si>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</si>
  <si>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</si>
  <si>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</si>
  <si>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</si>
  <si>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</si>
  <si>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</si>
  <si>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</si>
  <si>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</si>
  <si>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</si>
  <si>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</si>
  <si>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</si>
  <si>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</si>
  <si>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</si>
  <si>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</si>
  <si>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</si>
  <si>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</si>
  <si>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</si>
  <si>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</si>
  <si>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</si>
  <si>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</si>
  <si>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</si>
  <si>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</si>
  <si>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</si>
  <si>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</si>
  <si>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</si>
  <si>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</si>
  <si>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</si>
  <si>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</si>
  <si>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</si>
  <si>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</si>
  <si>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</si>
  <si>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</si>
  <si>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</si>
  <si>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</si>
  <si>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</si>
  <si>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</si>
  <si>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</si>
  <si>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</si>
  <si>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</si>
  <si>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</si>
  <si>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</si>
  <si>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</si>
  <si>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</si>
  <si>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</si>
  <si>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</si>
  <si>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</si>
  <si>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</si>
  <si>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</si>
  <si>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</si>
  <si>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</si>
  <si>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</si>
  <si>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</si>
  <si>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</si>
  <si>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</si>
  <si>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</si>
  <si>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</si>
  <si>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</si>
  <si>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</si>
  <si>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</si>
  <si>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</si>
  <si>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</si>
  <si>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</si>
  <si>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</si>
  <si>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</si>
  <si>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</si>
  <si>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</si>
  <si>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</si>
  <si>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</si>
  <si>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</si>
  <si>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</si>
  <si>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</si>
  <si>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</si>
  <si>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</si>
  <si>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</si>
  <si>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</si>
  <si>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</si>
  <si>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</si>
  <si>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</si>
  <si>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</si>
  <si>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</si>
  <si>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</si>
  <si>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</si>
  <si>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</si>
  <si>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</si>
  <si>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</si>
  <si>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</si>
  <si>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</si>
  <si>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</si>
  <si>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</si>
  <si>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</si>
  <si>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</si>
  <si>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</si>
  <si>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</si>
  <si>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</si>
  <si>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</si>
  <si>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</si>
  <si>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</si>
  <si>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</si>
  <si>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</si>
  <si>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</si>
  <si>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</si>
  <si>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</si>
  <si>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</si>
  <si>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</si>
  <si>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</si>
  <si>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</si>
  <si>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</si>
  <si>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</si>
  <si>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</si>
  <si>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</si>
  <si>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</si>
  <si>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</si>
  <si>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</si>
  <si>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</si>
  <si>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</si>
  <si>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</si>
  <si>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</si>
  <si>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</si>
  <si>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</si>
  <si>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</si>
  <si>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</si>
  <si>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</si>
  <si>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</si>
  <si>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</si>
  <si>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</si>
  <si>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</si>
  <si>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</si>
  <si>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</si>
  <si>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</si>
  <si>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</si>
  <si>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</si>
  <si>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</si>
  <si>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</si>
  <si>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</si>
  <si>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</si>
  <si>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</si>
  <si>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</si>
  <si>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</si>
  <si>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</si>
  <si>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</si>
  <si>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</si>
  <si>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</si>
  <si>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</si>
  <si>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</si>
  <si>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</si>
  <si>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</si>
  <si>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</si>
  <si>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</si>
  <si>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</si>
  <si>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</si>
  <si>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</si>
  <si>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</si>
  <si>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</si>
  <si>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</si>
  <si>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</si>
  <si>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</si>
  <si>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</si>
  <si>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</si>
  <si>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</si>
  <si>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</si>
  <si>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</si>
  <si>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</si>
  <si>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</si>
  <si>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</si>
  <si>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</si>
  <si>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</si>
  <si>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</si>
  <si>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</si>
  <si>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</si>
  <si>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</si>
  <si>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</si>
  <si>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</si>
  <si>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</si>
  <si>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</si>
  <si>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</si>
  <si>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</si>
  <si>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</si>
  <si>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</si>
  <si>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</si>
  <si>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</si>
  <si>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</si>
  <si>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</si>
  <si>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</si>
  <si>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</si>
  <si>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</si>
  <si>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</si>
  <si>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</si>
  <si>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</si>
  <si>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</si>
  <si>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</si>
  <si>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</si>
  <si>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</si>
  <si>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</si>
  <si>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</si>
  <si>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</si>
  <si>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</si>
  <si>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</si>
  <si>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</si>
  <si>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</si>
  <si>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</si>
  <si>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</si>
  <si>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</si>
  <si>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</si>
  <si>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</si>
  <si>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</si>
  <si>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</si>
  <si>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</si>
  <si>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</si>
  <si>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</si>
  <si>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</si>
  <si>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</si>
  <si>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</si>
  <si>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</si>
  <si>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</si>
  <si>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</si>
  <si>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</si>
  <si>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</si>
  <si>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</si>
  <si>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</si>
  <si>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</si>
  <si>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</si>
  <si>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</si>
  <si>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</si>
  <si>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</si>
  <si>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</si>
  <si>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</si>
  <si>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</si>
  <si>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</si>
  <si>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</si>
  <si>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</si>
  <si>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</si>
  <si>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</si>
  <si>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</si>
  <si>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</si>
  <si>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</si>
  <si>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</si>
  <si>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</si>
  <si>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</si>
  <si>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</si>
  <si>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</si>
  <si>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</si>
  <si>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</si>
  <si>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</si>
  <si>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</si>
  <si>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</si>
  <si>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</si>
  <si>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</si>
  <si>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</si>
  <si>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</si>
  <si>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</si>
  <si>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</si>
  <si>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</si>
  <si>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</si>
  <si>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</si>
  <si>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</si>
  <si>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</si>
  <si>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</si>
  <si>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</si>
  <si>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</si>
  <si>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</si>
  <si>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</si>
  <si>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</si>
  <si>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</si>
  <si>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</si>
  <si>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</si>
  <si>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</si>
  <si>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</si>
  <si>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</si>
  <si>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</si>
  <si>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</si>
  <si>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</si>
  <si>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</si>
  <si>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</si>
  <si>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</si>
  <si>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</si>
  <si>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</si>
  <si>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</si>
  <si>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</si>
  <si>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</si>
  <si>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</si>
  <si>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</si>
  <si>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</si>
  <si>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</si>
  <si>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</si>
  <si>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</si>
  <si>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</si>
  <si>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</si>
  <si>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</si>
  <si>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</si>
  <si>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</si>
  <si>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</si>
  <si>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</si>
  <si>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</si>
  <si>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</si>
  <si>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</si>
  <si>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</si>
  <si>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</si>
  <si>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</si>
  <si>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</si>
  <si>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</si>
  <si>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</si>
  <si>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</si>
  <si>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</si>
  <si>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</si>
  <si>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</si>
  <si>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</si>
  <si>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</si>
  <si>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</si>
  <si>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</si>
  <si>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</si>
  <si>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</si>
  <si>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</si>
  <si>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</si>
  <si>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</si>
  <si>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</si>
  <si>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</si>
  <si>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</si>
  <si>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</si>
  <si>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</si>
  <si>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</si>
  <si>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</si>
  <si>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</si>
  <si>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</si>
  <si>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</si>
  <si>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</si>
  <si>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</si>
  <si>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</si>
  <si>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</si>
  <si>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</si>
  <si>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</si>
  <si>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</si>
  <si>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</si>
  <si>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</si>
  <si>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</si>
  <si>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</si>
  <si>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</si>
  <si>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</si>
  <si>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</si>
  <si>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</si>
  <si>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</si>
  <si>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</si>
  <si>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</si>
  <si>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</si>
  <si>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</si>
  <si>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</si>
  <si>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</si>
  <si>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</si>
  <si>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</si>
  <si>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</si>
  <si>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</si>
  <si>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</si>
  <si>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</si>
  <si>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</si>
  <si>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</si>
  <si>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</si>
  <si>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</si>
  <si>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</si>
  <si>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</si>
  <si>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</si>
  <si>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</si>
  <si>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</si>
  <si>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</si>
  <si>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</si>
  <si>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</si>
  <si>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</si>
  <si>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</si>
  <si>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</si>
  <si>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</si>
  <si>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</si>
  <si>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</si>
  <si>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</si>
  <si>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</si>
  <si>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</si>
  <si>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</si>
  <si>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</si>
  <si>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</si>
  <si>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</si>
  <si>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</si>
  <si>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</si>
  <si>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</si>
  <si>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</si>
  <si>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</si>
  <si>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</si>
  <si>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</si>
  <si>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</si>
  <si>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</si>
  <si>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</si>
  <si>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</si>
  <si>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</si>
  <si>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</si>
  <si>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</si>
  <si>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</si>
  <si>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</si>
  <si>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</si>
  <si>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</si>
  <si>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</si>
  <si>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</si>
  <si>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</si>
  <si>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</si>
  <si>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</si>
  <si>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</si>
  <si>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</si>
  <si>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</si>
  <si>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</si>
  <si>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</si>
  <si>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</si>
  <si>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</si>
  <si>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</si>
  <si>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</si>
  <si>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</si>
  <si>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</si>
  <si>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</si>
  <si>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</si>
  <si>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</si>
  <si>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</si>
  <si>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</si>
  <si>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</si>
  <si>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</si>
  <si>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</si>
  <si>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</si>
  <si>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</si>
  <si>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</si>
  <si>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</si>
  <si>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</si>
  <si>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</si>
  <si>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</si>
  <si>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</si>
  <si>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</si>
  <si>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</si>
  <si>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</si>
  <si>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</si>
  <si>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</si>
  <si>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</si>
  <si>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</si>
  <si>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</si>
  <si>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</si>
  <si>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</si>
  <si>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</si>
  <si>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</si>
  <si>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</si>
  <si>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</si>
  <si>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</si>
  <si>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</si>
  <si>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</si>
  <si>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</si>
  <si>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</si>
  <si>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</si>
  <si>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</si>
  <si>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</si>
  <si>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</si>
  <si>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</si>
  <si>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</si>
  <si>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</si>
  <si>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</si>
  <si>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</si>
  <si>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</si>
  <si>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</si>
  <si>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</si>
  <si>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</si>
  <si>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</si>
  <si>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</si>
  <si>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</si>
  <si>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</si>
  <si>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</si>
  <si>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</si>
  <si>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</si>
  <si>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</si>
  <si>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</si>
  <si>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</si>
  <si>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</si>
  <si>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</si>
  <si>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</si>
  <si>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</si>
  <si>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</si>
  <si>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</si>
  <si>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</si>
  <si>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</si>
  <si>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</si>
  <si>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</si>
  <si>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</si>
  <si>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</si>
  <si>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</si>
  <si>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</si>
  <si>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</si>
  <si>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</si>
  <si>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</si>
  <si>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</si>
  <si>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</si>
  <si>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</si>
  <si>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</si>
  <si>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</si>
  <si>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</si>
  <si>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</si>
  <si>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</si>
  <si>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</si>
  <si>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</si>
  <si>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</si>
  <si>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</si>
  <si>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</si>
  <si>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</si>
  <si>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</si>
  <si>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</si>
  <si>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</si>
  <si>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</si>
  <si>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</si>
  <si>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</si>
  <si>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</si>
  <si>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</si>
  <si>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</si>
  <si>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</si>
  <si>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</si>
  <si>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</si>
  <si>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</si>
  <si>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</si>
  <si>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</si>
  <si>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</si>
  <si>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</si>
  <si>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</si>
  <si>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</si>
  <si>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</si>
  <si>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</si>
  <si>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</si>
  <si>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</si>
  <si>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</si>
  <si>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</si>
  <si>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</si>
  <si>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</si>
  <si>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</si>
  <si>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</si>
  <si>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</si>
  <si>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</si>
  <si>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</si>
  <si>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</si>
  <si>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</si>
  <si>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</si>
  <si>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</si>
  <si>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</si>
  <si>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</si>
  <si>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</si>
  <si>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</si>
  <si>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</si>
  <si>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</si>
  <si>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</si>
  <si>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</si>
  <si>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</si>
  <si>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</si>
  <si>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</si>
  <si>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</si>
  <si>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</si>
  <si>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</si>
  <si>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</si>
  <si>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</si>
  <si>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</si>
  <si>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</si>
  <si>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</si>
  <si>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</si>
  <si>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</si>
  <si>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</si>
  <si>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</si>
  <si>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</si>
  <si>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</si>
  <si>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</si>
  <si>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</si>
  <si>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</si>
  <si>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</si>
  <si>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</si>
  <si>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</si>
  <si>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</si>
  <si>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</si>
  <si>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</si>
  <si>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</si>
  <si>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</si>
  <si>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</si>
  <si>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</si>
  <si>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</si>
  <si>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</si>
  <si>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</si>
  <si>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</si>
  <si>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</si>
  <si>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</si>
  <si>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</si>
  <si>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</si>
  <si>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</si>
  <si>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</si>
  <si>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</si>
  <si>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</si>
  <si>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</si>
  <si>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</si>
  <si>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</si>
  <si>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</si>
  <si>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</si>
  <si>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</si>
  <si>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</si>
  <si>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</si>
  <si>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</si>
  <si>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</si>
  <si>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</si>
  <si>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</si>
  <si>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</si>
  <si>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</si>
  <si>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</si>
  <si>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</si>
  <si>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</si>
  <si>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</si>
  <si>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</si>
  <si>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</si>
  <si>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</si>
  <si>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</si>
  <si>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</si>
  <si>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</si>
  <si>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</si>
  <si>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</si>
  <si>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</si>
  <si>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</si>
  <si>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</si>
  <si>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</si>
  <si>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</si>
  <si>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</si>
  <si>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</si>
  <si>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</si>
  <si>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</si>
  <si>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</si>
  <si>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</si>
  <si>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</si>
  <si>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</si>
  <si>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</si>
  <si>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</si>
  <si>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</si>
  <si>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</si>
  <si>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</si>
  <si>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</si>
  <si>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</si>
  <si>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</si>
  <si>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</si>
  <si>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</si>
  <si>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</si>
  <si>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</si>
  <si>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</si>
  <si>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</si>
  <si>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</si>
  <si>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</si>
  <si>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</si>
  <si>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</si>
  <si>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</si>
  <si>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</si>
  <si>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</si>
  <si>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</si>
  <si>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</si>
  <si>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</si>
  <si>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</si>
  <si>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</si>
  <si>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</si>
  <si>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</si>
  <si>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</si>
  <si>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</si>
  <si>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</si>
  <si>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</si>
  <si>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</si>
  <si>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</si>
  <si>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</si>
  <si>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</si>
  <si>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</si>
  <si>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</si>
  <si>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</si>
  <si>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</si>
  <si>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</si>
  <si>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</si>
  <si>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</si>
  <si>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</si>
  <si>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</si>
  <si>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</si>
  <si>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</si>
  <si>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</si>
  <si>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</si>
  <si>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</si>
  <si>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</si>
  <si>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</si>
  <si>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</si>
  <si>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</si>
  <si>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</si>
  <si>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</si>
  <si>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</si>
  <si>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</si>
  <si>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</si>
  <si>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</si>
  <si>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</si>
  <si>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</si>
  <si>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</si>
  <si>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</si>
  <si>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</si>
  <si>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</si>
  <si>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</si>
  <si>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</si>
  <si>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</si>
  <si>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</si>
  <si>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</si>
  <si>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</si>
  <si>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</si>
  <si>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</si>
  <si>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</si>
  <si>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</si>
  <si>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</si>
  <si>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</si>
  <si>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</si>
  <si>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</si>
  <si>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</si>
  <si>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</si>
  <si>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</si>
  <si>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</si>
  <si>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</si>
  <si>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</si>
  <si>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</si>
  <si>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</si>
  <si>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</si>
  <si>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</si>
  <si>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</si>
  <si>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</si>
  <si>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</si>
  <si>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</si>
  <si>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</si>
  <si>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</si>
  <si>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</si>
  <si>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</si>
  <si>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</si>
  <si>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</si>
  <si>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</si>
  <si>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</si>
  <si>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</si>
  <si>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</si>
  <si>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</si>
  <si>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</si>
  <si>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</si>
  <si>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</si>
  <si>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</si>
  <si>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</si>
  <si>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</si>
  <si>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</si>
  <si>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</si>
  <si>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</si>
  <si>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</si>
  <si>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</si>
  <si>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</si>
  <si>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</si>
  <si>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</si>
  <si>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</si>
  <si>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</si>
  <si>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</si>
  <si>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</si>
  <si>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</si>
  <si>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</si>
  <si>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</si>
  <si>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</si>
  <si>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</si>
  <si>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</si>
  <si>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</si>
  <si>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</si>
  <si>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</si>
  <si>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</si>
  <si>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</si>
  <si>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</si>
  <si>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</si>
  <si>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</si>
  <si>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</si>
  <si>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</si>
  <si>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</si>
  <si>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</si>
  <si>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</si>
  <si>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</si>
  <si>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</si>
  <si>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</si>
  <si>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</si>
  <si>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</si>
  <si>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</si>
  <si>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</si>
  <si>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</si>
  <si>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</si>
  <si>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</si>
  <si>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</si>
  <si>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</si>
  <si>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</si>
  <si>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</si>
  <si>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</si>
  <si>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</si>
  <si>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</si>
  <si>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</si>
  <si>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</si>
  <si>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</si>
  <si>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</si>
  <si>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</si>
  <si>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</si>
  <si>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</si>
  <si>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</si>
  <si>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</si>
  <si>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</si>
  <si>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</si>
  <si>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</si>
  <si>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</si>
  <si>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</si>
  <si>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</si>
  <si>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</si>
  <si>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</si>
  <si>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</si>
  <si>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</si>
  <si>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</si>
  <si>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</si>
  <si>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</si>
  <si>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</si>
  <si>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</si>
  <si>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</si>
  <si>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</si>
  <si>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</si>
  <si>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</si>
  <si>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</si>
  <si>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</si>
  <si>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</si>
  <si>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</si>
  <si>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</si>
  <si>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</si>
  <si>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</si>
  <si>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</si>
  <si>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</si>
  <si>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</si>
  <si>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</si>
  <si>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</si>
  <si>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</si>
  <si>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</si>
  <si>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</si>
  <si>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</si>
  <si>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</si>
  <si>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</si>
  <si>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</si>
  <si>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</si>
  <si>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</si>
  <si>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</si>
  <si>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</si>
  <si>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</si>
  <si>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</si>
  <si>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</si>
  <si>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</si>
  <si>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</si>
  <si>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</si>
  <si>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</si>
  <si>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</si>
  <si>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</si>
  <si>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</si>
  <si>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</si>
  <si>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</si>
  <si>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</si>
  <si>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</si>
  <si>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</si>
  <si>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</si>
  <si>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</si>
  <si>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</si>
  <si>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</si>
  <si>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</si>
  <si>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</si>
  <si>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</si>
  <si>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</si>
  <si>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</si>
  <si>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</si>
  <si>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</si>
  <si>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</si>
  <si>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</si>
  <si>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</si>
  <si>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</si>
  <si>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</si>
  <si>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</si>
  <si>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</si>
  <si>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</si>
  <si>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</si>
  <si>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</si>
  <si>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</si>
  <si>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</si>
  <si>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</si>
  <si>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</si>
  <si>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</si>
  <si>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</si>
  <si>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</si>
  <si>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</si>
  <si>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</si>
  <si>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</si>
  <si>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</si>
  <si>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</si>
  <si>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</si>
  <si>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</si>
  <si>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</si>
  <si>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</si>
  <si>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</si>
  <si>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</si>
  <si>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</si>
  <si>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</si>
  <si>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</si>
  <si>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</si>
  <si>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</si>
  <si>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</si>
  <si>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</si>
  <si>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</si>
  <si>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</si>
  <si>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</si>
  <si>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</si>
  <si>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</si>
  <si>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</si>
  <si>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</si>
  <si>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</si>
  <si>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</si>
  <si>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</si>
  <si>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</si>
  <si>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</si>
  <si>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</si>
  <si>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</si>
  <si>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</si>
  <si>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</si>
  <si>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</si>
  <si>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</si>
  <si>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</si>
  <si>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</si>
  <si>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</si>
  <si>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</si>
  <si>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</si>
  <si>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</si>
  <si>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</si>
  <si>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</si>
  <si>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</si>
  <si>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</si>
  <si>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</si>
  <si>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</si>
  <si>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</si>
  <si>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</si>
  <si>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</si>
  <si>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</si>
  <si>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</si>
  <si>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</si>
  <si>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</si>
  <si>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</si>
  <si>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</si>
  <si>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</si>
  <si>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</si>
  <si>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</si>
  <si>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</si>
  <si>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</si>
  <si>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</si>
  <si>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</si>
  <si>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</si>
  <si>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</si>
  <si>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</si>
  <si>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</si>
  <si>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</si>
  <si>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</si>
  <si>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</si>
  <si>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</si>
  <si>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</si>
  <si>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</si>
  <si>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</si>
  <si>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</si>
  <si>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</si>
  <si>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</si>
  <si>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</si>
  <si>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</si>
  <si>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</si>
  <si>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</si>
  <si>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</si>
  <si>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</si>
  <si>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</si>
  <si>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</si>
  <si>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</si>
  <si>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</si>
  <si>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</si>
  <si>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</si>
  <si>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</si>
  <si>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</si>
  <si>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</si>
  <si>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</si>
  <si>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</si>
  <si>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</si>
  <si>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</si>
  <si>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</si>
  <si>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</si>
  <si>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</si>
  <si>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</si>
  <si>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</si>
  <si>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</si>
  <si>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</si>
  <si>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</si>
  <si>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</si>
  <si>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</si>
  <si>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</si>
  <si>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</si>
  <si>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</si>
  <si>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</si>
  <si>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</si>
  <si>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</si>
  <si>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</si>
  <si>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</si>
  <si>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</si>
  <si>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</si>
  <si>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</si>
  <si>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</si>
  <si>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</si>
  <si>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</si>
  <si>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</si>
  <si>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</si>
  <si>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</si>
  <si>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</si>
  <si>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</si>
  <si>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</si>
  <si>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</si>
  <si>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</si>
  <si>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</si>
  <si>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</si>
  <si>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</si>
  <si>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</si>
  <si>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</si>
  <si>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</si>
  <si>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</si>
  <si>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</si>
  <si>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</si>
  <si>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</si>
  <si>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</si>
  <si>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</si>
  <si>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</si>
  <si>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</si>
  <si>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</si>
  <si>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</si>
  <si>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</si>
  <si>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</si>
  <si>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</si>
  <si>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</si>
  <si>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</si>
  <si>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</si>
  <si>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</si>
  <si>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</si>
  <si>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</si>
  <si>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</si>
  <si>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</si>
  <si>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</si>
  <si>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</si>
  <si>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</si>
  <si>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</si>
  <si>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</si>
  <si>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</si>
  <si>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</si>
  <si>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</si>
  <si>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</si>
  <si>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</si>
  <si>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</si>
  <si>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</si>
  <si>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</si>
  <si>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</si>
  <si>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</si>
  <si>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</si>
  <si>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</si>
  <si>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</si>
  <si>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</si>
  <si>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</si>
  <si>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</si>
  <si>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</si>
  <si>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</si>
  <si>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</si>
  <si>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</si>
  <si>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</si>
  <si>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</si>
  <si>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</si>
  <si>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</si>
  <si>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</si>
  <si>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</si>
  <si>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</si>
  <si>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</si>
  <si>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</si>
  <si>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</si>
  <si>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</si>
  <si>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</si>
  <si>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</si>
  <si>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</si>
  <si>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</si>
  <si>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</si>
  <si>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</si>
  <si>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</si>
  <si>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</si>
  <si>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</si>
  <si>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</si>
  <si>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</si>
  <si>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</si>
  <si>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</si>
  <si>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</si>
  <si>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</si>
  <si>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</si>
  <si>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</si>
  <si>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</si>
  <si>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</si>
  <si>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</si>
  <si>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</si>
  <si>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</si>
  <si>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</si>
  <si>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</si>
  <si>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</si>
  <si>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</si>
  <si>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</si>
  <si>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</si>
  <si>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</si>
  <si>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</si>
  <si>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</si>
  <si>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</si>
  <si>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</si>
  <si>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</si>
  <si>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</si>
  <si>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</si>
  <si>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</si>
  <si>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</si>
  <si>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</si>
  <si>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</si>
  <si>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</si>
  <si>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</si>
  <si>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</si>
  <si>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</si>
  <si>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</si>
  <si>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</si>
  <si>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</si>
  <si>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</si>
  <si>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</si>
  <si>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</si>
  <si>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</si>
  <si>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</si>
  <si>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</si>
  <si>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</si>
  <si>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</si>
  <si>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</si>
  <si>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</si>
  <si>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</si>
  <si>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</si>
  <si>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</si>
  <si>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</si>
  <si>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</si>
  <si>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</si>
  <si>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</si>
  <si>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</si>
  <si>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</si>
  <si>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</si>
  <si>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</si>
  <si>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</si>
  <si>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</si>
  <si>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</si>
  <si>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</si>
  <si>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</si>
  <si>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</si>
  <si>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</si>
  <si>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</si>
  <si>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</si>
  <si>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</si>
  <si>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</si>
  <si>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</si>
  <si>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</si>
  <si>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</si>
  <si>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</si>
  <si>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</si>
  <si>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</si>
  <si>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</si>
  <si>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</si>
  <si>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</si>
  <si>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</si>
  <si>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</si>
  <si>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</si>
  <si>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</si>
  <si>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</si>
  <si>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</si>
  <si>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</si>
  <si>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</si>
  <si>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</si>
  <si>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</si>
  <si>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</si>
  <si>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</si>
  <si>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</si>
  <si>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</si>
  <si>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</si>
  <si>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</si>
  <si>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</si>
  <si>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</si>
  <si>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</si>
  <si>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</si>
  <si>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</si>
  <si>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</si>
  <si>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</si>
  <si>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</si>
  <si>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</si>
  <si>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</si>
  <si>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</si>
  <si>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</si>
  <si>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</si>
  <si>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</si>
  <si>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</si>
  <si>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</si>
  <si>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</si>
  <si>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</si>
  <si>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</si>
  <si>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</si>
  <si>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</si>
  <si>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</si>
  <si>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</si>
  <si>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</si>
  <si>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</si>
  <si>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</si>
  <si>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</si>
  <si>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</si>
  <si>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</si>
  <si>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</si>
  <si>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</si>
  <si>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</si>
  <si>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</si>
  <si>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</si>
  <si>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</si>
  <si>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</si>
  <si>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</si>
  <si>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</si>
  <si>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</si>
  <si>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</si>
  <si>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</si>
  <si>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</si>
  <si>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</si>
  <si>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</si>
  <si>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</si>
  <si>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</si>
  <si>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</si>
  <si>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</si>
  <si>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</si>
  <si>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</si>
  <si>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</si>
  <si>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</si>
  <si>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</si>
  <si>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</si>
  <si>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</si>
  <si>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</si>
  <si>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</si>
  <si>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</si>
  <si>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</si>
  <si>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</si>
  <si>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</si>
  <si>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</si>
  <si>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</si>
  <si>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</si>
  <si>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</si>
  <si>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</si>
  <si>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</si>
  <si>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</si>
  <si>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</si>
  <si>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</si>
  <si>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</si>
  <si>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</si>
  <si>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</si>
  <si>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</si>
  <si>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</si>
  <si>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</si>
  <si>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</si>
  <si>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</si>
  <si>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</si>
  <si>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</si>
  <si>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</si>
  <si>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</si>
  <si>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</si>
  <si>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</si>
  <si>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</si>
  <si>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</si>
  <si>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</si>
  <si>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</si>
  <si>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</si>
  <si>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</si>
  <si>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</si>
  <si>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</si>
  <si>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</si>
  <si>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</si>
  <si>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</si>
  <si>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</si>
  <si>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</si>
  <si>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</si>
  <si>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</si>
  <si>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</si>
  <si>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</si>
  <si>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</si>
  <si>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</si>
  <si>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</si>
  <si>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</si>
  <si>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</si>
  <si>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</si>
  <si>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</si>
  <si>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</si>
  <si>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</si>
  <si>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</si>
  <si>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</si>
  <si>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</si>
  <si>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</si>
  <si>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</si>
  <si>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</si>
  <si>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</si>
  <si>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</si>
  <si>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</si>
  <si>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</si>
  <si>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</si>
  <si>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</si>
  <si>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</si>
  <si>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</si>
  <si>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</si>
  <si>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</si>
  <si>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</si>
  <si>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</si>
  <si>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</si>
  <si>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</si>
  <si>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</si>
  <si>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</si>
  <si>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</si>
  <si>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</si>
  <si>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</si>
  <si>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</si>
  <si>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</si>
  <si>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</si>
  <si>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</si>
  <si>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</si>
  <si>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</si>
  <si>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</si>
  <si>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</si>
  <si>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</si>
  <si>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</si>
  <si>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</si>
  <si>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</si>
  <si>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</si>
  <si>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</si>
  <si>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</si>
  <si>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</si>
  <si>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</si>
  <si>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</si>
  <si>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</si>
  <si>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</si>
  <si>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</si>
  <si>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</si>
  <si>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</si>
  <si>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</si>
  <si>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</si>
  <si>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</si>
  <si>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</si>
  <si>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</si>
  <si>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</si>
  <si>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</si>
  <si>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</si>
  <si>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</si>
  <si>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</si>
  <si>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</si>
  <si>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</si>
  <si>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</si>
  <si>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</si>
  <si>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</si>
  <si>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</si>
  <si>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</si>
  <si>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</si>
  <si>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</si>
  <si>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</si>
  <si>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</si>
  <si>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</si>
  <si>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</si>
  <si>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</si>
  <si>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</si>
  <si>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</si>
  <si>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</si>
  <si>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</si>
  <si>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</si>
  <si>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</si>
  <si>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</si>
  <si>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</si>
  <si>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</si>
  <si>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</si>
  <si>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</si>
  <si>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</si>
  <si>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</si>
  <si>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</si>
  <si>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</si>
  <si>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</si>
  <si>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</si>
  <si>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</si>
  <si>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</si>
  <si>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</si>
  <si>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</si>
  <si>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</si>
  <si>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</si>
  <si>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</si>
  <si>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</si>
  <si>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</si>
  <si>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</si>
  <si>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</si>
  <si>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</si>
  <si>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</si>
  <si>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</si>
  <si>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</si>
  <si>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</si>
  <si>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</si>
  <si>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</si>
  <si>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</si>
  <si>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</si>
  <si>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</si>
  <si>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</si>
  <si>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</si>
  <si>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</si>
  <si>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</si>
  <si>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</si>
  <si>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</si>
  <si>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</si>
  <si>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</si>
  <si>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</si>
  <si>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</si>
  <si>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</si>
  <si>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</si>
  <si>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</si>
  <si>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</si>
  <si>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</si>
  <si>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</si>
  <si>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</si>
  <si>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</si>
  <si>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</si>
  <si>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</si>
  <si>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</si>
  <si>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</si>
  <si>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</si>
  <si>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</si>
  <si>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</si>
  <si>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</si>
  <si>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</si>
  <si>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</si>
  <si>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</si>
  <si>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</si>
  <si>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</si>
  <si>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</si>
  <si>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</si>
  <si>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</si>
  <si>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</si>
  <si>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</si>
  <si>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</si>
  <si>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</si>
  <si>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</si>
  <si>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</si>
  <si>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</si>
  <si>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</si>
  <si>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</si>
  <si>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</si>
  <si>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</si>
  <si>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</si>
  <si>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</si>
  <si>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</si>
  <si>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</si>
  <si>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</si>
  <si>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</si>
  <si>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</si>
  <si>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</si>
  <si>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</si>
  <si>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</si>
  <si>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</si>
  <si>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</si>
  <si>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</si>
  <si>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</si>
  <si>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</si>
  <si>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</si>
  <si>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</si>
  <si>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</si>
  <si>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</si>
  <si>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</si>
  <si>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</si>
  <si>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</si>
  <si>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</si>
  <si>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</si>
  <si>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</si>
  <si>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</si>
  <si>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</si>
  <si>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</si>
  <si>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</si>
  <si>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</si>
  <si>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</si>
  <si>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</si>
  <si>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</si>
  <si>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</si>
  <si>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</si>
  <si>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</si>
  <si>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</si>
  <si>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</si>
  <si>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</si>
  <si>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</si>
  <si>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</si>
  <si>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</si>
  <si>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</si>
  <si>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</si>
  <si>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</si>
  <si>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</si>
  <si>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</si>
  <si>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</si>
  <si>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</si>
  <si>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</si>
  <si>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</si>
  <si>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</si>
  <si>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</si>
  <si>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</si>
  <si>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</si>
  <si>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</si>
  <si>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</si>
  <si>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</si>
  <si>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</si>
  <si>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</si>
  <si>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</si>
  <si>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</si>
  <si>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</si>
  <si>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</si>
  <si>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</si>
  <si>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</si>
  <si>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</si>
  <si>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</si>
  <si>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</si>
  <si>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</si>
  <si>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</si>
  <si>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</si>
  <si>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</si>
  <si>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</si>
  <si>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</si>
  <si>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</si>
  <si>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</si>
  <si>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</si>
  <si>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</si>
  <si>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</si>
  <si>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</si>
  <si>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</si>
  <si>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</si>
  <si>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</si>
  <si>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</si>
  <si>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</si>
  <si>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</si>
  <si>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</si>
  <si>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</si>
  <si>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</si>
  <si>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</si>
  <si>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</si>
  <si>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</si>
  <si>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</si>
  <si>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</si>
  <si>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</si>
  <si>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</si>
  <si>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</si>
  <si>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</si>
  <si>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</si>
  <si>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</si>
  <si>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</si>
  <si>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</si>
  <si>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</si>
  <si>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</si>
  <si>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</si>
  <si>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</si>
  <si>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</si>
  <si>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</si>
  <si>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</si>
  <si>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</si>
  <si>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</si>
  <si>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</si>
  <si>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</si>
  <si>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</si>
  <si>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</si>
  <si>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</si>
  <si>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</si>
  <si>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</si>
  <si>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</si>
  <si>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</si>
  <si>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</si>
  <si>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</si>
  <si>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</si>
  <si>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</si>
  <si>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</si>
  <si>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</si>
  <si>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</si>
  <si>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</si>
  <si>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</si>
  <si>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</si>
  <si>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</si>
  <si>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</si>
  <si>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</si>
  <si>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</si>
  <si>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</si>
  <si>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</si>
  <si>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</si>
  <si>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</si>
  <si>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</si>
  <si>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</si>
  <si>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</si>
  <si>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</si>
  <si>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</si>
  <si>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</si>
  <si>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</si>
  <si>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</si>
  <si>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</si>
  <si>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</si>
  <si>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</si>
  <si>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</si>
  <si>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</si>
  <si>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</si>
  <si>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</si>
  <si>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</si>
  <si>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</si>
  <si>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</si>
  <si>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</si>
  <si>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</si>
  <si>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</si>
  <si>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</si>
  <si>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</si>
  <si>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</si>
  <si>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</si>
  <si>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</si>
  <si>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</si>
  <si>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</si>
  <si>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</si>
  <si>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</si>
  <si>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</si>
  <si>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</si>
  <si>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</si>
  <si>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</si>
  <si>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</si>
  <si>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</si>
  <si>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</si>
  <si>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</si>
  <si>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</si>
  <si>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</si>
  <si>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</si>
  <si>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</si>
  <si>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</si>
  <si>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</si>
  <si>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</si>
  <si>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</si>
  <si>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</si>
  <si>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</si>
  <si>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</si>
  <si>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</si>
  <si>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</si>
  <si>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</si>
  <si>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</si>
  <si>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</si>
  <si>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</si>
  <si>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</si>
  <si>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</si>
  <si>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</si>
  <si>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</si>
  <si>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</si>
  <si>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</si>
  <si>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</si>
  <si>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</si>
  <si>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</si>
  <si>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</si>
  <si>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</si>
  <si>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</si>
  <si>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</si>
  <si>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</si>
  <si>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</si>
  <si>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</si>
  <si>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</si>
  <si>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</si>
  <si>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</si>
  <si>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</si>
  <si>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</si>
  <si>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</si>
  <si>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</si>
  <si>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</si>
  <si>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</si>
  <si>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</si>
  <si>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</si>
  <si>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</si>
  <si>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</si>
  <si>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</si>
  <si>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</si>
  <si>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</si>
  <si>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</si>
  <si>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</si>
  <si>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</si>
  <si>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</si>
  <si>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</si>
  <si>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</si>
  <si>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</si>
  <si>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</si>
  <si>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</si>
  <si>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</si>
  <si>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</si>
  <si>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</si>
  <si>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</si>
  <si>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</si>
  <si>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</si>
  <si>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</si>
  <si>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</si>
  <si>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</si>
  <si>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</si>
  <si>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</si>
  <si>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</si>
  <si>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</si>
  <si>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</si>
  <si>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</si>
  <si>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</si>
  <si>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</si>
  <si>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</si>
  <si>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</si>
  <si>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</si>
  <si>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</si>
  <si>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</si>
  <si>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</si>
  <si>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</si>
  <si>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</si>
  <si>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</si>
  <si>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</si>
  <si>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</si>
  <si>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</si>
  <si>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</si>
  <si>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</si>
  <si>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</si>
  <si>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</si>
  <si>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</si>
  <si>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</si>
  <si>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</si>
  <si>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</si>
  <si>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</si>
  <si>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</si>
  <si>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</si>
  <si>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</si>
  <si>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</si>
  <si>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</si>
  <si>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</si>
  <si>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</si>
  <si>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</si>
  <si>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</si>
  <si>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</si>
  <si>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</si>
  <si>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</si>
  <si>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</si>
  <si>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</si>
  <si>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</si>
  <si>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</si>
  <si>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</si>
  <si>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</si>
  <si>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</si>
  <si>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</si>
  <si>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</si>
  <si>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</si>
  <si>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</si>
  <si>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</si>
  <si>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</si>
  <si>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</si>
  <si>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</si>
  <si>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</si>
  <si>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</si>
  <si>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</si>
  <si>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</si>
  <si>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</si>
  <si>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</si>
  <si>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</si>
  <si>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</si>
  <si>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</si>
  <si>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</si>
  <si>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</si>
  <si>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</si>
  <si>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</si>
  <si>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</si>
  <si>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</si>
  <si>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</si>
  <si>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</si>
  <si>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</si>
  <si>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</si>
  <si>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</si>
  <si>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</si>
  <si>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</si>
  <si>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</si>
  <si>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</si>
  <si>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</si>
  <si>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</si>
  <si>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</si>
  <si>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</si>
  <si>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</si>
  <si>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</si>
  <si>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</si>
  <si>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</si>
  <si>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</si>
  <si>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</si>
  <si>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</si>
  <si>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</si>
  <si>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</si>
  <si>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</si>
  <si>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</si>
  <si>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</si>
  <si>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</si>
  <si>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</si>
  <si>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</si>
  <si>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</si>
  <si>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</si>
  <si>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</si>
  <si>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</si>
  <si>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</si>
  <si>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</si>
  <si>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</si>
  <si>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</si>
  <si>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</si>
  <si>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</si>
  <si>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</si>
  <si>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</si>
  <si>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</si>
  <si>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</si>
  <si>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</si>
  <si>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</si>
  <si>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</si>
  <si>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</si>
  <si>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</si>
  <si>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</si>
  <si>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</si>
  <si>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</si>
  <si>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</si>
  <si>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</si>
  <si>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</si>
  <si>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</si>
  <si>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</si>
  <si>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</si>
  <si>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</si>
  <si>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</si>
  <si>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</si>
  <si>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</si>
  <si>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</si>
  <si>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</si>
  <si>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</si>
  <si>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</si>
  <si>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</si>
  <si>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</si>
  <si>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</si>
  <si>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</si>
  <si>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</si>
  <si>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</si>
  <si>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</si>
  <si>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</si>
  <si>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</si>
  <si>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</si>
  <si>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</si>
  <si>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</si>
  <si>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</si>
  <si>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</si>
  <si>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</si>
  <si>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</si>
  <si>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</si>
  <si>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</si>
  <si>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</si>
  <si>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</si>
  <si>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</si>
  <si>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</si>
  <si>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</si>
  <si>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</si>
  <si>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</si>
  <si>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</si>
  <si>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</si>
  <si>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</si>
  <si>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</si>
  <si>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</si>
  <si>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</si>
  <si>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</si>
  <si>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</si>
  <si>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</si>
  <si>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</si>
  <si>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</si>
  <si>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</si>
  <si>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</si>
  <si>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</si>
  <si>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</si>
  <si>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</si>
  <si>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</si>
  <si>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</si>
  <si>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</si>
  <si>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</si>
  <si>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</si>
  <si>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</si>
  <si>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</si>
  <si>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</si>
  <si>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</si>
  <si>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</si>
  <si>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</si>
  <si>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</si>
  <si>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</si>
  <si>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</si>
  <si>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</si>
  <si>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</si>
  <si>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</si>
  <si>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</si>
  <si>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</si>
  <si>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</si>
  <si>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</si>
  <si>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</si>
  <si>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</si>
  <si>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</si>
  <si>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</si>
  <si>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</si>
  <si>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</si>
  <si>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</si>
  <si>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</si>
  <si>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</si>
  <si>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</si>
  <si>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</si>
  <si>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</si>
  <si>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</si>
  <si>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</si>
  <si>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</si>
  <si>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</si>
  <si>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</si>
  <si>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</si>
  <si>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</si>
  <si>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</si>
  <si>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</si>
  <si>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</si>
  <si>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</si>
  <si>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</si>
  <si>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</si>
  <si>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</si>
  <si>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</si>
  <si>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</si>
  <si>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</si>
  <si>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</si>
  <si>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</si>
  <si>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</si>
  <si>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</si>
  <si>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</si>
  <si>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</si>
  <si>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</si>
  <si>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</si>
  <si>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</si>
  <si>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</si>
  <si>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</si>
  <si>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</si>
  <si>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</si>
  <si>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</si>
  <si>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</si>
  <si>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</si>
  <si>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</si>
  <si>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</si>
  <si>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</si>
  <si>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</si>
  <si>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</si>
  <si>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</si>
  <si>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</si>
  <si>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</si>
  <si>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</si>
  <si>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</si>
  <si>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</si>
  <si>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</si>
  <si>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</si>
  <si>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</si>
  <si>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</si>
  <si>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</si>
  <si>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</si>
  <si>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</si>
  <si>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</si>
  <si>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</si>
  <si>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</si>
  <si>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</si>
  <si>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</si>
  <si>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</si>
  <si>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</si>
  <si>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</si>
  <si>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</si>
  <si>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</si>
  <si>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</si>
  <si>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</si>
  <si>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</si>
  <si>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</si>
  <si>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</si>
  <si>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</si>
  <si>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</si>
  <si>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</si>
  <si>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</si>
  <si>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</si>
  <si>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</si>
  <si>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</si>
  <si>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</si>
  <si>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</si>
  <si>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</si>
  <si>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</si>
  <si>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</si>
  <si>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</si>
  <si>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</si>
  <si>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</si>
  <si>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</si>
  <si>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</si>
  <si>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</si>
  <si>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</si>
  <si>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</si>
  <si>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</si>
  <si>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</si>
  <si>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</si>
  <si>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</si>
  <si>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</si>
  <si>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</si>
  <si>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</si>
  <si>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</si>
  <si>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</si>
  <si>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</si>
  <si>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</si>
  <si>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</si>
  <si>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</si>
  <si>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</si>
  <si>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</si>
  <si>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</si>
  <si>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</si>
  <si>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</si>
  <si>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</si>
  <si>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</si>
  <si>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</si>
  <si>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</si>
  <si>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</si>
  <si>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</si>
  <si>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</si>
  <si>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</si>
  <si>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</si>
  <si>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</si>
  <si>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</si>
  <si>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</si>
  <si>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</si>
  <si>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</si>
  <si>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</si>
  <si>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</si>
  <si>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</si>
  <si>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</si>
  <si>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</si>
  <si>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</si>
  <si>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</si>
  <si>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</si>
  <si>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</si>
  <si>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</si>
  <si>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</si>
  <si>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</si>
  <si>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</si>
  <si>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</si>
  <si>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</si>
  <si>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</si>
  <si>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</si>
  <si>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</si>
  <si>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</si>
  <si>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</si>
  <si>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</si>
  <si>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</si>
  <si>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</si>
  <si>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</si>
  <si>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</si>
  <si>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</si>
  <si>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</si>
  <si>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</si>
  <si>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</si>
  <si>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</si>
  <si>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</si>
  <si>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</si>
  <si>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</si>
  <si>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</si>
  <si>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</si>
  <si>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</si>
  <si>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</si>
  <si>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</si>
  <si>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</si>
  <si>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</si>
  <si>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</si>
  <si>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</si>
  <si>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</si>
  <si>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</si>
  <si>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</si>
  <si>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</si>
  <si>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</si>
  <si>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</si>
  <si>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</si>
  <si>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</si>
  <si>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</si>
  <si>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</si>
  <si>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</si>
  <si>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</si>
  <si>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</si>
  <si>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</si>
  <si>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</si>
  <si>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</si>
  <si>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</si>
  <si>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</si>
  <si>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</si>
  <si>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</si>
  <si>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</si>
  <si>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</si>
  <si>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</si>
  <si>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</si>
  <si>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</si>
  <si>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</si>
  <si>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</si>
  <si>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</si>
  <si>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</si>
  <si>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</si>
  <si>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</si>
  <si>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</si>
  <si>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</si>
  <si>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</si>
  <si>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</si>
  <si>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</si>
  <si>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</si>
  <si>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</si>
  <si>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</si>
  <si>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</si>
  <si>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</si>
  <si>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</si>
  <si>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</si>
  <si>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</si>
  <si>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</si>
  <si>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</si>
  <si>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</si>
  <si>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</si>
  <si>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</si>
  <si>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</si>
  <si>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</si>
  <si>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</si>
  <si>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</si>
  <si>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</si>
  <si>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</si>
  <si>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</si>
  <si>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</si>
  <si>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</si>
  <si>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</si>
  <si>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</si>
  <si>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</si>
  <si>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</si>
  <si>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</si>
  <si>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</si>
  <si>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</si>
  <si>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</si>
  <si>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</si>
  <si>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</si>
  <si>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</si>
  <si>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</si>
  <si>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</si>
  <si>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</si>
  <si>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</si>
  <si>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</si>
  <si>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</si>
  <si>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</si>
  <si>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</si>
  <si>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</si>
  <si>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</si>
  <si>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</si>
  <si>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</si>
  <si>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</si>
  <si>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</si>
  <si>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</si>
  <si>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</si>
  <si>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</si>
  <si>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</si>
  <si>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</si>
  <si>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</si>
  <si>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</si>
  <si>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</si>
  <si>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</si>
  <si>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</si>
  <si>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</si>
  <si>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</si>
  <si>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</si>
  <si>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</si>
  <si>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</si>
  <si>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</si>
  <si>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</si>
  <si>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</si>
  <si>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</si>
  <si>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</si>
  <si>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</si>
  <si>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</si>
  <si>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</si>
  <si>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</si>
  <si>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</si>
  <si>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</si>
  <si>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</si>
  <si>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</si>
  <si>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</si>
  <si>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</si>
  <si>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</si>
  <si>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</si>
  <si>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</si>
  <si>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</si>
  <si>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</si>
  <si>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</si>
  <si>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</si>
  <si>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</si>
  <si>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</si>
  <si>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</si>
  <si>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</si>
  <si>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</si>
  <si>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</si>
  <si>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</si>
  <si>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</si>
  <si>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</si>
  <si>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</si>
  <si>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</si>
  <si>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</si>
  <si>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</si>
  <si>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</si>
  <si>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</si>
  <si>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</si>
  <si>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</si>
  <si>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</si>
  <si>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</si>
  <si>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</si>
  <si>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</si>
  <si>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</si>
  <si>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</si>
  <si>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</si>
  <si>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</si>
  <si>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</si>
  <si>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</si>
  <si>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</si>
  <si>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</si>
  <si>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</si>
  <si>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</si>
  <si>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</si>
  <si>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</si>
  <si>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</si>
  <si>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</si>
  <si>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</si>
  <si>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</si>
  <si>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</si>
  <si>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</si>
  <si>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</si>
  <si>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</si>
  <si>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</si>
  <si>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</si>
  <si>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</si>
  <si>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</si>
  <si>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</si>
  <si>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</si>
  <si>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</si>
  <si>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</si>
  <si>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</si>
  <si>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</si>
  <si>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</si>
  <si>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</si>
  <si>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</si>
  <si>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</si>
  <si>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</si>
  <si>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</si>
  <si>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</si>
  <si>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</si>
  <si>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</si>
  <si>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</si>
  <si>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</si>
  <si>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</si>
  <si>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</si>
  <si>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</si>
  <si>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</si>
  <si>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</si>
  <si>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</si>
  <si>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</si>
  <si>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</si>
  <si>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</si>
  <si>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</si>
  <si>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</si>
  <si>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</si>
  <si>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</si>
  <si>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</si>
  <si>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</si>
  <si>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</si>
  <si>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</si>
  <si>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</si>
  <si>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</si>
  <si>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</si>
  <si>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</si>
  <si>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</si>
  <si>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</si>
  <si>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</si>
  <si>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</si>
  <si>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</si>
  <si>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</si>
  <si>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</si>
  <si>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</si>
  <si>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</si>
  <si>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</si>
  <si>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</si>
  <si>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</si>
  <si>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</si>
  <si>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</si>
  <si>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</si>
  <si>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</si>
  <si>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</si>
  <si>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</si>
  <si>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</si>
  <si>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</si>
  <si>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</si>
  <si>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</si>
  <si>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</si>
  <si>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</si>
  <si>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</si>
  <si>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</si>
  <si>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</si>
  <si>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</si>
  <si>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</si>
  <si>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</si>
  <si>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</si>
  <si>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</si>
  <si>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</si>
  <si>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</si>
  <si>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</si>
  <si>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</si>
  <si>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</si>
  <si>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</si>
  <si>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</si>
  <si>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</si>
  <si>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</si>
  <si>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</si>
  <si>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</si>
  <si>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</si>
  <si>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</si>
  <si>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</si>
  <si>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</si>
  <si>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</si>
  <si>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</si>
  <si>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</si>
  <si>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</si>
  <si>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</si>
  <si>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</si>
  <si>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</si>
  <si>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</si>
  <si>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</si>
  <si>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</si>
  <si>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</si>
  <si>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</si>
  <si>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</si>
  <si>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</si>
  <si>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</si>
  <si>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</si>
  <si>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</si>
  <si>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</si>
  <si>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</si>
  <si>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</si>
  <si>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</si>
  <si>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</si>
  <si>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</si>
  <si>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</si>
  <si>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</si>
  <si>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</si>
  <si>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</si>
  <si>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</si>
  <si>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</si>
  <si>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</si>
  <si>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</si>
  <si>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</si>
  <si>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</si>
  <si>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</si>
  <si>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</si>
  <si>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</si>
  <si>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</si>
  <si>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</si>
  <si>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</si>
  <si>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</si>
  <si>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</si>
  <si>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</si>
  <si>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</si>
  <si>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</si>
  <si>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</si>
  <si>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</si>
  <si>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</si>
  <si>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</si>
  <si>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</si>
  <si>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</si>
  <si>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</si>
  <si>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</si>
  <si>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</si>
  <si>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</si>
  <si>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</si>
  <si>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</si>
  <si>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</si>
  <si>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</si>
  <si>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</si>
  <si>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</si>
  <si>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</si>
  <si>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</si>
  <si>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</si>
  <si>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</si>
  <si>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</si>
  <si>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</si>
  <si>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</si>
  <si>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</si>
  <si>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</si>
  <si>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</si>
  <si>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</si>
  <si>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</si>
  <si>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</si>
  <si>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</si>
  <si>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</si>
  <si>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</si>
  <si>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</si>
  <si>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</si>
  <si>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</si>
  <si>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</si>
  <si>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</si>
  <si>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</si>
  <si>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</si>
  <si>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</si>
  <si>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</si>
  <si>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</si>
  <si>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</si>
  <si>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</si>
  <si>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</si>
  <si>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</si>
  <si>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</si>
  <si>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</si>
  <si>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</si>
  <si>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</si>
  <si>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</si>
  <si>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</si>
  <si>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</si>
  <si>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</si>
  <si>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</si>
  <si>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</si>
  <si>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</si>
  <si>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</si>
  <si>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</si>
  <si>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</si>
  <si>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</si>
  <si>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</si>
  <si>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</si>
  <si>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</si>
  <si>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</si>
  <si>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</si>
  <si>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</si>
  <si>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</si>
  <si>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</si>
  <si>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</si>
  <si>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</si>
  <si>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</si>
  <si>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</si>
  <si>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</si>
  <si>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</si>
  <si>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</si>
  <si>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</si>
  <si>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</si>
  <si>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</si>
  <si>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</si>
  <si>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</si>
  <si>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</si>
  <si>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</si>
  <si>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</si>
  <si>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</si>
  <si>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</si>
  <si>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</si>
  <si>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</si>
  <si>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</si>
  <si>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</si>
  <si>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</si>
  <si>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</si>
  <si>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</si>
  <si>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</si>
  <si>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</si>
  <si>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</si>
  <si>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</si>
  <si>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</si>
  <si>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</si>
  <si>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</si>
  <si>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</si>
  <si>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</si>
  <si>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</si>
  <si>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</si>
  <si>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</si>
  <si>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</si>
  <si>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</si>
  <si>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</si>
  <si>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</si>
  <si>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</si>
  <si>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</si>
  <si>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</si>
  <si>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</si>
  <si>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</si>
  <si>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</si>
  <si>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</si>
  <si>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</si>
  <si>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</si>
  <si>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</si>
  <si>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</si>
  <si>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</si>
  <si>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</si>
  <si>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</si>
  <si>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</si>
  <si>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</si>
  <si>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</si>
  <si>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</si>
  <si>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</si>
  <si>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</si>
  <si>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</si>
  <si>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</si>
  <si>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</si>
  <si>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</si>
  <si>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</si>
  <si>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</si>
  <si>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</si>
  <si>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</si>
  <si>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</si>
  <si>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</si>
  <si>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</si>
  <si>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</si>
  <si>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</si>
  <si>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</si>
  <si>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</si>
  <si>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</si>
  <si>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</si>
  <si>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</si>
  <si>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</si>
  <si>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</si>
  <si>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</si>
  <si>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</si>
  <si>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</si>
  <si>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</si>
  <si>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</si>
  <si>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</si>
  <si>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</si>
  <si>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</si>
  <si>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</si>
  <si>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</si>
  <si>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</si>
  <si>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</si>
  <si>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</si>
  <si>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</si>
  <si>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</si>
  <si>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</si>
  <si>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</si>
  <si>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</si>
  <si>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</si>
  <si>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</si>
  <si>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</si>
  <si>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</si>
  <si>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</si>
  <si>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</si>
  <si>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</si>
  <si>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</si>
  <si>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</si>
  <si>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</si>
  <si>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</si>
  <si>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</si>
  <si>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</si>
  <si>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</si>
  <si>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</si>
  <si>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</si>
  <si>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</si>
  <si>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</si>
  <si>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</si>
  <si>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</si>
  <si>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</si>
  <si>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</si>
  <si>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</si>
  <si>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</si>
  <si>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</si>
  <si>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</si>
  <si>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</si>
  <si>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</si>
  <si>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</si>
  <si>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</si>
  <si>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</si>
  <si>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</si>
  <si>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</si>
  <si>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</si>
  <si>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</si>
  <si>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</si>
  <si>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</si>
  <si>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</si>
  <si>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</si>
  <si>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</si>
  <si>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</si>
  <si>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</si>
  <si>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</si>
  <si>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</si>
  <si>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</si>
  <si>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</si>
  <si>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</si>
  <si>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</si>
  <si>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</si>
  <si>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</si>
  <si>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</si>
  <si>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</si>
  <si>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</si>
  <si>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</si>
  <si>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</si>
  <si>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</si>
  <si>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</si>
  <si>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</si>
  <si>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</si>
  <si>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</si>
  <si>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</si>
  <si>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</si>
  <si>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</si>
  <si>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</si>
  <si>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</si>
  <si>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</si>
  <si>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</si>
  <si>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</si>
  <si>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</si>
  <si>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</si>
  <si>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</si>
  <si>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</si>
  <si>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</si>
  <si>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</si>
  <si>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</si>
  <si>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</si>
  <si>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</si>
  <si>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</si>
  <si>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</si>
  <si>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</si>
  <si>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</si>
  <si>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</si>
  <si>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</si>
  <si>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</si>
  <si>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</si>
  <si>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</si>
  <si>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</si>
  <si>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</si>
  <si>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</si>
  <si>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</si>
  <si>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</si>
  <si>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</si>
  <si>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</si>
  <si>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</si>
  <si>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</si>
  <si>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</si>
  <si>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</si>
  <si>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</si>
  <si>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</si>
  <si>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</si>
  <si>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</si>
  <si>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</si>
  <si>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</si>
  <si>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</si>
  <si>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</si>
  <si>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</si>
  <si>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</si>
  <si>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</si>
  <si>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</si>
  <si>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</si>
  <si>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</si>
  <si>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</si>
  <si>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</si>
  <si>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</si>
  <si>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</si>
  <si>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</si>
  <si>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</si>
  <si>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</si>
  <si>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</si>
  <si>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</si>
  <si>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</si>
  <si>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</si>
  <si>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</si>
  <si>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</si>
  <si>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</si>
  <si>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</si>
  <si>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</si>
  <si>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</si>
  <si>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</si>
  <si>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</si>
  <si>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</si>
  <si>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</si>
  <si>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</si>
  <si>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</si>
  <si>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</si>
  <si>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</si>
  <si>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</si>
  <si>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</si>
  <si>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</si>
  <si>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</si>
  <si>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</si>
  <si>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</si>
  <si>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</si>
  <si>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</si>
  <si>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</si>
  <si>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</si>
  <si>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</si>
  <si>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</si>
  <si>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</si>
  <si>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</si>
  <si>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</si>
  <si>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</si>
  <si>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</si>
  <si>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</si>
  <si>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</si>
  <si>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</si>
  <si>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</si>
  <si>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</si>
  <si>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</si>
  <si>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</si>
  <si>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</si>
  <si>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</si>
  <si>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</si>
  <si>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</si>
  <si>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</si>
  <si>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</si>
  <si>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</si>
  <si>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</si>
  <si>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</si>
  <si>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</si>
  <si>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</si>
  <si>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</si>
  <si>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</si>
  <si>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</si>
  <si>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</si>
  <si>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</si>
  <si>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</si>
  <si>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</si>
  <si>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</si>
  <si>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</si>
  <si>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</si>
  <si>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</si>
  <si>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</si>
  <si>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</si>
  <si>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</si>
  <si>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</si>
  <si>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</si>
  <si>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</si>
  <si>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</si>
  <si>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</si>
  <si>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</si>
  <si>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</si>
  <si>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</si>
  <si>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</si>
  <si>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</si>
  <si>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</si>
  <si>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</si>
  <si>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</si>
  <si>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</si>
  <si>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</si>
  <si>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</si>
  <si>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</si>
  <si>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</si>
  <si>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</si>
  <si>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</si>
  <si>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</si>
  <si>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</si>
  <si>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</si>
  <si>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</si>
  <si>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</si>
  <si>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</si>
  <si>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</si>
  <si>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</si>
  <si>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</si>
  <si>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</si>
  <si>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</si>
  <si>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</si>
  <si>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</si>
  <si>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</si>
  <si>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</si>
  <si>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</si>
  <si>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</si>
  <si>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</si>
  <si>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</si>
  <si>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</si>
  <si>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</si>
  <si>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</si>
  <si>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</si>
  <si>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</si>
  <si>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</si>
  <si>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</si>
  <si>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</si>
  <si>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</si>
  <si>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</si>
  <si>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</si>
  <si>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</si>
  <si>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</si>
  <si>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</si>
  <si>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</si>
  <si>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</si>
  <si>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</si>
  <si>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</si>
  <si>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</si>
  <si>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</si>
  <si>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</si>
  <si>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</si>
  <si>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</si>
  <si>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</si>
  <si>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</si>
  <si>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</si>
  <si>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</si>
  <si>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</si>
  <si>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</si>
  <si>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</si>
  <si>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</si>
  <si>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</si>
  <si>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</si>
  <si>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</si>
  <si>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</si>
  <si>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</si>
  <si>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</si>
  <si>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</si>
  <si>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</si>
  <si>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</si>
  <si>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</si>
  <si>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</si>
  <si>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</si>
  <si>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</si>
  <si>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</si>
  <si>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</si>
  <si>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</si>
  <si>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</si>
  <si>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</si>
  <si>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</si>
  <si>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</si>
  <si>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</si>
  <si>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</si>
  <si>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</si>
  <si>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</si>
  <si>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</si>
  <si>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</si>
  <si>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</si>
  <si>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</si>
  <si>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</si>
  <si>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</si>
  <si>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</si>
  <si>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</si>
  <si>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</si>
  <si>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</si>
  <si>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</si>
  <si>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</si>
  <si>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</si>
  <si>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</si>
  <si>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</si>
  <si>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</si>
  <si>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</si>
  <si>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</si>
  <si>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</si>
  <si>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</si>
  <si>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</si>
  <si>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</si>
  <si>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</si>
  <si>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</si>
  <si>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</si>
  <si>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</si>
  <si>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</si>
  <si>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</si>
  <si>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</si>
  <si>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</si>
  <si>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</si>
  <si>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</si>
  <si>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</si>
  <si>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</si>
  <si>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</si>
  <si>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</si>
  <si>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</si>
  <si>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</si>
  <si>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</si>
  <si>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</si>
  <si>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</si>
  <si>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</si>
  <si>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</si>
  <si>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</si>
  <si>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</si>
  <si>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</si>
  <si>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</si>
  <si>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</si>
  <si>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</si>
  <si>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</si>
  <si>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</si>
  <si>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</si>
  <si>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</si>
  <si>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</si>
  <si>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</si>
  <si>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</si>
  <si>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</si>
  <si>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</si>
  <si>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</si>
  <si>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</si>
  <si>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</si>
  <si>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</si>
  <si>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</si>
  <si>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</si>
  <si>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</si>
  <si>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</si>
  <si>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</si>
  <si>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</si>
  <si>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</si>
  <si>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</si>
  <si>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</si>
  <si>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</si>
  <si>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</si>
  <si>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</si>
  <si>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</si>
  <si>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</si>
  <si>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</si>
  <si>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</si>
  <si>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</si>
  <si>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</si>
  <si>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</si>
  <si>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</si>
  <si>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</si>
  <si>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</si>
  <si>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</si>
  <si>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</si>
  <si>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</si>
  <si>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</si>
  <si>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</si>
  <si>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</si>
  <si>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</si>
  <si>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</si>
  <si>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</si>
  <si>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</si>
  <si>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</si>
  <si>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</si>
  <si>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</si>
  <si>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</si>
  <si>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</si>
  <si>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</si>
  <si>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</si>
  <si>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</si>
  <si>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</si>
  <si>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</si>
  <si>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</si>
  <si>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</si>
  <si>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</si>
  <si>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</si>
  <si>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</si>
  <si>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</si>
  <si>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</si>
  <si>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</si>
  <si>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</si>
  <si>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</si>
  <si>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</si>
  <si>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</si>
  <si>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</si>
  <si>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</si>
  <si>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</si>
  <si>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</si>
  <si>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</si>
  <si>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</si>
  <si>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</si>
  <si>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</si>
  <si>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</si>
  <si>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</si>
  <si>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</si>
  <si>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</si>
  <si>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</si>
  <si>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</si>
  <si>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</si>
  <si>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</si>
  <si>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</si>
  <si>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</si>
  <si>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</si>
  <si>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</si>
  <si>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</si>
  <si>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</si>
  <si>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</si>
  <si>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</si>
  <si>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</si>
  <si>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</si>
  <si>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</si>
  <si>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</si>
  <si>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</si>
  <si>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</si>
  <si>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</si>
  <si>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</si>
  <si>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</si>
  <si>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</si>
  <si>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</si>
  <si>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</si>
  <si>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</si>
  <si>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</si>
  <si>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</si>
  <si>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</si>
  <si>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</si>
  <si>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</si>
  <si>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</si>
  <si>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</si>
  <si>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</si>
  <si>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</si>
  <si>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</si>
  <si>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</si>
  <si>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</si>
  <si>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</si>
  <si>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</si>
  <si>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</si>
  <si>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</si>
  <si>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</si>
  <si>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</si>
  <si>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</si>
  <si>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</si>
  <si>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</si>
  <si>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</si>
  <si>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</si>
  <si>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</si>
  <si>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</si>
  <si>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</si>
  <si>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</si>
  <si>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</si>
  <si>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</si>
  <si>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</si>
  <si>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</si>
  <si>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</si>
  <si>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</si>
  <si>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</si>
  <si>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</si>
  <si>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</si>
  <si>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</si>
  <si>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</si>
  <si>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</si>
  <si>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</si>
  <si>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</si>
  <si>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</si>
  <si>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</si>
  <si>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</si>
  <si>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</si>
  <si>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</si>
  <si>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</si>
  <si>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</si>
  <si>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</si>
  <si>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</si>
  <si>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</si>
  <si>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</si>
  <si>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</si>
  <si>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</si>
  <si>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</si>
  <si>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</si>
  <si>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</si>
  <si>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</si>
  <si>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</si>
  <si>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</si>
  <si>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</si>
  <si>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</si>
  <si>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</si>
  <si>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</si>
  <si>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</si>
  <si>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</si>
  <si>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</si>
  <si>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</si>
  <si>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</si>
  <si>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</si>
  <si>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</si>
  <si>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</si>
  <si>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</si>
  <si>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</si>
  <si>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</si>
  <si>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</si>
  <si>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</si>
  <si>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</si>
  <si>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</si>
  <si>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</si>
  <si>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</si>
  <si>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</si>
  <si>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</si>
  <si>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</si>
  <si>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</si>
  <si>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</si>
  <si>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</si>
  <si>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</si>
  <si>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</si>
  <si>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</si>
  <si>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</si>
  <si>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</si>
  <si>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</si>
  <si>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</si>
  <si>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</si>
  <si>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</si>
  <si>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</si>
  <si>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</si>
  <si>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</si>
  <si>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</si>
  <si>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</si>
  <si>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</si>
  <si>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</si>
  <si>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</si>
  <si>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</si>
  <si>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</si>
  <si>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</si>
  <si>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</si>
  <si>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</si>
  <si>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</si>
  <si>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</si>
  <si>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</si>
  <si>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</si>
  <si>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</si>
  <si>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</si>
  <si>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</si>
  <si>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</si>
  <si>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</si>
  <si>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</si>
  <si>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</si>
  <si>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</si>
  <si>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</si>
  <si>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</si>
  <si>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</si>
  <si>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</si>
  <si>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</si>
  <si>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</si>
  <si>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</si>
  <si>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</si>
  <si>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</si>
  <si>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</si>
  <si>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</si>
  <si>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</si>
  <si>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</si>
  <si>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</si>
  <si>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</si>
  <si>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</si>
  <si>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</si>
  <si>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</si>
  <si>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</si>
  <si>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</si>
  <si>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</si>
  <si>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</si>
  <si>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</si>
  <si>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</si>
  <si>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</si>
  <si>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</si>
  <si>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</si>
  <si>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</si>
  <si>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</si>
  <si>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</si>
  <si>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</si>
  <si>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</si>
  <si>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</si>
  <si>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</si>
  <si>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</si>
  <si>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</si>
  <si>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</si>
  <si>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</si>
  <si>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</si>
  <si>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</si>
  <si>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</si>
  <si>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</si>
  <si>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</si>
  <si>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</si>
  <si>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</si>
  <si>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</si>
  <si>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</si>
  <si>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</si>
  <si>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</si>
  <si>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</si>
  <si>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</si>
  <si>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</si>
  <si>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</si>
  <si>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</si>
  <si>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</si>
  <si>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</si>
  <si>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</si>
  <si>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</si>
  <si>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</si>
  <si>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</si>
  <si>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</si>
  <si>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</si>
  <si>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</si>
  <si>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</si>
  <si>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</si>
  <si>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</si>
  <si>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</si>
  <si>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</si>
  <si>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</si>
  <si>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</si>
  <si>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</si>
  <si>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</si>
  <si>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</si>
  <si>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</si>
  <si>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</si>
  <si>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</si>
  <si>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</si>
  <si>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</si>
  <si>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</si>
  <si>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</si>
  <si>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</si>
  <si>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</si>
  <si>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</si>
  <si>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</si>
  <si>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</si>
  <si>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</si>
  <si>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</si>
  <si>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</si>
  <si>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</si>
  <si>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</si>
  <si>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</si>
  <si>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</si>
  <si>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</si>
  <si>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</si>
  <si>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</si>
  <si>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</si>
  <si>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</si>
  <si>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</si>
  <si>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</si>
  <si>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</si>
  <si>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</si>
  <si>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</si>
  <si>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</si>
  <si>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</si>
  <si>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</si>
  <si>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</si>
  <si>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</si>
  <si>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</si>
  <si>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</si>
  <si>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</si>
  <si>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</si>
  <si>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</si>
  <si>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</si>
  <si>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</si>
  <si>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</si>
  <si>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</si>
  <si>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</si>
  <si>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</si>
  <si>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</si>
  <si>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</si>
  <si>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</si>
  <si>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</si>
  <si>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</si>
  <si>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</si>
  <si>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</si>
  <si>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</si>
  <si>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</si>
  <si>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</si>
  <si>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</si>
  <si>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</si>
  <si>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</si>
  <si>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</si>
  <si>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</si>
  <si>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</si>
  <si>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</si>
  <si>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</si>
  <si>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</si>
  <si>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</si>
  <si>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</si>
  <si>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</si>
  <si>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</si>
  <si>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</si>
  <si>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</si>
  <si>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</si>
  <si>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</si>
  <si>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</si>
  <si>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</si>
  <si>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</si>
  <si>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</si>
  <si>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</si>
  <si>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</si>
  <si>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</si>
  <si>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</si>
  <si>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</si>
  <si>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</si>
  <si>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</si>
  <si>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</si>
  <si>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</si>
  <si>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</si>
  <si>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</si>
  <si>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</si>
  <si>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</si>
  <si>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</si>
  <si>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</si>
  <si>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</si>
  <si>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</si>
  <si>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</si>
  <si>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</si>
  <si>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</si>
  <si>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</si>
  <si>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</si>
  <si>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</si>
  <si>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</si>
  <si>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</si>
  <si>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</si>
  <si>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</si>
  <si>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</si>
  <si>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</si>
  <si>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</si>
  <si>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</si>
  <si>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</si>
  <si>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</si>
  <si>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</si>
  <si>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</si>
  <si>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</si>
  <si>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</si>
  <si>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</si>
  <si>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</si>
  <si>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</si>
  <si>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</si>
  <si>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</si>
  <si>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</si>
  <si>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</si>
  <si>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</si>
  <si>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</si>
  <si>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</si>
  <si>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</si>
  <si>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</si>
  <si>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</si>
  <si>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</si>
  <si>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</si>
  <si>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</si>
  <si>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</si>
  <si>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</si>
  <si>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</si>
  <si>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</si>
  <si>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</si>
  <si>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</si>
  <si>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</si>
  <si>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</si>
  <si>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</si>
  <si>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</si>
  <si>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</si>
  <si>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</si>
  <si>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</si>
  <si>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</si>
  <si>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</si>
  <si>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</si>
  <si>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</si>
  <si>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</si>
  <si>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</si>
  <si>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</si>
  <si>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</si>
  <si>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</si>
  <si>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</si>
  <si>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</si>
  <si>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</si>
  <si>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</si>
  <si>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</si>
  <si>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</si>
  <si>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</si>
  <si>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</si>
  <si>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</si>
  <si>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</si>
  <si>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</si>
  <si>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</si>
  <si>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</si>
  <si>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</si>
  <si>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</si>
  <si>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</si>
  <si>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</si>
  <si>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</si>
  <si>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</si>
  <si>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</si>
  <si>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</si>
  <si>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</si>
  <si>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</si>
  <si>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</si>
  <si>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</si>
  <si>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</si>
  <si>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</si>
  <si>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</si>
  <si>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</si>
  <si>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</si>
  <si>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</si>
  <si>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</si>
  <si>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</si>
  <si>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</si>
  <si>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</si>
  <si>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</si>
  <si>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</si>
  <si>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</si>
  <si>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</si>
  <si>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</si>
  <si>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</si>
  <si>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</si>
  <si>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</si>
  <si>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</si>
  <si>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</si>
  <si>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</si>
  <si>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</si>
  <si>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</si>
  <si>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</si>
  <si>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</si>
  <si>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</si>
  <si>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</si>
  <si>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</si>
  <si>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</si>
  <si>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</si>
  <si>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</si>
  <si>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</si>
  <si>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</si>
  <si>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</si>
  <si>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</si>
  <si>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</si>
  <si>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</si>
  <si>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</si>
  <si>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</si>
  <si>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</si>
  <si>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</si>
  <si>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</si>
  <si>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</si>
  <si>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</si>
  <si>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</si>
  <si>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</si>
  <si>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</si>
  <si>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</si>
  <si>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</si>
  <si>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</si>
  <si>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</si>
  <si>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</si>
  <si>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</si>
  <si>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</si>
  <si>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</si>
  <si>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</si>
  <si>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</si>
  <si>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</si>
  <si>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</si>
  <si>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</si>
  <si>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</si>
  <si>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</si>
  <si>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</si>
  <si>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</si>
  <si>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</si>
  <si>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</si>
  <si>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</si>
  <si>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</si>
  <si>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</si>
  <si>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</si>
  <si>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</si>
  <si>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</si>
  <si>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</si>
  <si>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</si>
  <si>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</si>
  <si>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</si>
  <si>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</si>
  <si>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</si>
  <si>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</si>
  <si>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</si>
  <si>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</si>
  <si>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</si>
  <si>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</si>
  <si>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</si>
  <si>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</si>
  <si>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</si>
  <si>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</si>
  <si>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</si>
  <si>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</si>
  <si>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</si>
  <si>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</si>
  <si>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</si>
  <si>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</si>
  <si>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</si>
  <si>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</si>
  <si>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</si>
  <si>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</si>
  <si>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</si>
  <si>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</si>
  <si>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</si>
  <si>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</si>
  <si>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</si>
  <si>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</si>
  <si>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</si>
  <si>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</si>
  <si>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</si>
  <si>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</si>
  <si>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</si>
  <si>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</si>
  <si>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</si>
  <si>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</si>
  <si>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</si>
  <si>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</si>
  <si>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</si>
  <si>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</si>
  <si>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</si>
  <si>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</si>
  <si>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</si>
  <si>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</si>
  <si>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</si>
  <si>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</si>
  <si>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</si>
  <si>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</si>
  <si>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</si>
  <si>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</si>
  <si>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</si>
  <si>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</si>
  <si>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</si>
  <si>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</si>
  <si>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</si>
  <si>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</si>
  <si>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</si>
  <si>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</si>
  <si>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</si>
  <si>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</si>
  <si>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</si>
  <si>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</si>
  <si>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</si>
  <si>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</si>
  <si>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</si>
  <si>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</si>
  <si>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</si>
  <si>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</si>
  <si>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</si>
  <si>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</si>
  <si>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</si>
  <si>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</si>
  <si>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</si>
  <si>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</si>
  <si>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</si>
  <si>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</si>
  <si>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</si>
  <si>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</si>
  <si>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</si>
  <si>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</si>
  <si>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</si>
  <si>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</si>
  <si>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</si>
  <si>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</si>
  <si>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</si>
  <si>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</si>
  <si>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</si>
  <si>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</si>
  <si>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</si>
  <si>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</si>
  <si>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</si>
  <si>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</si>
  <si>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</si>
  <si>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</si>
  <si>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</si>
  <si>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</si>
  <si>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</si>
  <si>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</si>
  <si>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</si>
  <si>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</si>
  <si>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</si>
  <si>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</si>
  <si>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</si>
  <si>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</si>
  <si>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</si>
  <si>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</si>
  <si>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</si>
  <si>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</si>
  <si>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</si>
  <si>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</si>
  <si>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</si>
  <si>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</si>
  <si>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</si>
  <si>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</si>
  <si>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</si>
  <si>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</si>
  <si>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</si>
  <si>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</si>
  <si>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</si>
  <si>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</si>
  <si>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</si>
  <si>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</si>
  <si>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</si>
  <si>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</si>
  <si>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</si>
  <si>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</si>
  <si>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</si>
  <si>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</si>
  <si>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</si>
  <si>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</si>
  <si>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</si>
  <si>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</si>
  <si>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</si>
  <si>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</si>
  <si>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</si>
  <si>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</si>
  <si>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</si>
  <si>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</si>
  <si>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</si>
  <si>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</si>
  <si>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</si>
  <si>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</si>
  <si>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</si>
  <si>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</si>
  <si>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</si>
  <si>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</si>
  <si>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</si>
  <si>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</si>
  <si>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</si>
  <si>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</si>
  <si>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</si>
  <si>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</si>
  <si>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</si>
  <si>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</si>
  <si>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</si>
  <si>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</si>
  <si>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</si>
  <si>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</si>
  <si>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</si>
  <si>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</si>
  <si>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</si>
  <si>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</si>
  <si>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</si>
  <si>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</si>
  <si>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</si>
  <si>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</si>
  <si>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</si>
  <si>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</si>
  <si>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</si>
  <si>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</si>
  <si>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</si>
  <si>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</si>
  <si>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</si>
  <si>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</si>
  <si>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</si>
  <si>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</si>
  <si>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</si>
  <si>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</si>
  <si>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</si>
  <si>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</si>
  <si>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</si>
  <si>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</si>
  <si>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</si>
  <si>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</si>
  <si>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</si>
  <si>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</si>
  <si>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</si>
  <si>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</si>
  <si>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</si>
  <si>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</si>
  <si>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</si>
  <si>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</si>
  <si>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</si>
  <si>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</si>
  <si>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</si>
  <si>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</si>
  <si>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</si>
  <si>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</si>
  <si>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</si>
  <si>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</si>
  <si>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</si>
  <si>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</si>
  <si>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</si>
  <si>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</si>
  <si>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</si>
  <si>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</si>
  <si>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</si>
  <si>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</si>
  <si>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</si>
  <si>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</si>
  <si>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</si>
  <si>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</si>
  <si>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</si>
  <si>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</si>
  <si>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</si>
  <si>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</si>
  <si>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</si>
  <si>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</si>
  <si>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</si>
  <si>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</si>
  <si>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</si>
  <si>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</si>
  <si>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</si>
  <si>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</si>
  <si>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</si>
  <si>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</si>
  <si>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</si>
  <si>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</si>
  <si>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</si>
  <si>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</si>
  <si>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</si>
  <si>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</si>
  <si>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</si>
  <si>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</si>
  <si>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</si>
  <si>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</si>
  <si>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</si>
  <si>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</si>
  <si>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</si>
  <si>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</si>
  <si>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</si>
  <si>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</si>
  <si>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</si>
  <si>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</si>
  <si>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</si>
  <si>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</si>
  <si>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</si>
  <si>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</si>
  <si>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</si>
  <si>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</si>
  <si>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</si>
  <si>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</si>
  <si>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</si>
  <si>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</si>
  <si>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</si>
  <si>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</si>
  <si>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</si>
  <si>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</si>
  <si>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</si>
  <si>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</si>
  <si>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</si>
  <si>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</si>
  <si>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</si>
  <si>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</si>
  <si>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</si>
  <si>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</si>
  <si>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</si>
  <si>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</si>
  <si>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</si>
  <si>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</si>
  <si>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</si>
  <si>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</si>
  <si>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</si>
  <si>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</si>
  <si>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</si>
  <si>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</si>
  <si>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</si>
  <si>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</si>
  <si>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</si>
  <si>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</si>
  <si>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</si>
  <si>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</si>
  <si>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</si>
  <si>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</si>
  <si>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</si>
  <si>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</si>
  <si>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</si>
  <si>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</si>
  <si>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</si>
  <si>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</si>
  <si>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</si>
  <si>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</si>
  <si>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</si>
  <si>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</si>
  <si>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</si>
  <si>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</si>
  <si>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</si>
  <si>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</si>
  <si>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</si>
  <si>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</si>
  <si>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</si>
  <si>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</si>
  <si>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</si>
  <si>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</si>
  <si>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</si>
  <si>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</si>
  <si>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</si>
  <si>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</si>
  <si>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</si>
  <si>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</si>
  <si>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</si>
  <si>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</si>
  <si>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</si>
  <si>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</si>
  <si>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</si>
  <si>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</si>
  <si>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</si>
  <si>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</si>
  <si>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</si>
  <si>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</si>
  <si>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</si>
  <si>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</si>
  <si>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</si>
  <si>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</si>
  <si>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</si>
  <si>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</si>
  <si>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</si>
  <si>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</si>
  <si>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</si>
  <si>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</si>
  <si>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</si>
  <si>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</si>
  <si>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</si>
  <si>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</si>
  <si>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</si>
  <si>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</si>
  <si>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</si>
  <si>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</si>
  <si>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</si>
  <si>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</si>
  <si>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</si>
  <si>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</si>
  <si>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</si>
  <si>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</si>
  <si>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</si>
  <si>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</si>
  <si>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</si>
  <si>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</si>
  <si>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</si>
  <si>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</si>
  <si>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</si>
  <si>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</si>
  <si>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</si>
  <si>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</si>
  <si>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</si>
  <si>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</si>
  <si>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</si>
  <si>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</si>
  <si>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</si>
  <si>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</si>
  <si>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</si>
  <si>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</si>
  <si>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</si>
  <si>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</si>
  <si>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</si>
  <si>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</si>
  <si>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</si>
  <si>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</si>
  <si>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</si>
  <si>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</si>
  <si>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</si>
  <si>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</si>
  <si>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</si>
  <si>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</si>
  <si>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</si>
  <si>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</si>
  <si>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</si>
  <si>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</si>
  <si>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</si>
  <si>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</si>
  <si>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</si>
  <si>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</si>
  <si>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</si>
  <si>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</si>
  <si>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</si>
  <si>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</si>
  <si>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</si>
  <si>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</si>
  <si>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</si>
  <si>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</si>
  <si>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</si>
  <si>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</si>
  <si>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</si>
  <si>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</si>
  <si>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</si>
  <si>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</si>
  <si>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</si>
  <si>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</si>
  <si>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</si>
  <si>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</si>
  <si>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</si>
  <si>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</si>
  <si>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</si>
  <si>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</si>
  <si>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</si>
  <si>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</si>
  <si>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</si>
  <si>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</si>
  <si>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</si>
  <si>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</si>
  <si>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</si>
  <si>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</si>
  <si>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</si>
  <si>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</si>
  <si>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</si>
  <si>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</si>
  <si>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</si>
  <si>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</si>
  <si>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</si>
  <si>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</si>
  <si>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</si>
  <si>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</si>
  <si>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</si>
  <si>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</si>
  <si>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</si>
  <si>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</si>
  <si>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</si>
  <si>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</si>
  <si>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</si>
  <si>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</si>
  <si>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</si>
  <si>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</si>
  <si>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</si>
  <si>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</si>
  <si>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</si>
  <si>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</si>
  <si>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</si>
  <si>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</si>
  <si>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</si>
  <si>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</si>
  <si>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</si>
  <si>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</si>
  <si>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</si>
  <si>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</si>
  <si>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</si>
  <si>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</si>
  <si>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</si>
  <si>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</si>
  <si>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</si>
  <si>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</si>
  <si>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</si>
  <si>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</si>
  <si>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</si>
  <si>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</si>
  <si>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</si>
  <si>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</si>
  <si>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</si>
  <si>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</si>
  <si>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</si>
  <si>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</si>
  <si>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</si>
  <si>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</si>
  <si>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</si>
  <si>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</si>
  <si>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</si>
  <si>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</si>
  <si>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</si>
  <si>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</si>
  <si>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</si>
  <si>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</si>
  <si>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</si>
  <si>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</si>
  <si>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</si>
  <si>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</si>
  <si>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</si>
  <si>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</si>
  <si>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</si>
  <si>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</si>
  <si>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</si>
  <si>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</si>
  <si>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</si>
  <si>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</si>
  <si>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</si>
  <si>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</si>
  <si>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</si>
  <si>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</si>
  <si>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</si>
  <si>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</si>
  <si>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</si>
  <si>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</si>
  <si>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</si>
  <si>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</si>
  <si>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</si>
  <si>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</si>
  <si>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</si>
  <si>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</si>
  <si>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</si>
  <si>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</si>
  <si>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</si>
  <si>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</si>
  <si>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</si>
  <si>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</si>
  <si>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</si>
  <si>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</si>
  <si>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</si>
  <si>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</si>
  <si>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</si>
  <si>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</si>
  <si>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</si>
  <si>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</si>
  <si>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</si>
  <si>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</si>
  <si>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</si>
  <si>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</si>
  <si>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</si>
  <si>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</si>
  <si>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</si>
  <si>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</si>
  <si>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</si>
  <si>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</si>
  <si>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</si>
  <si>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</si>
  <si>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</si>
  <si>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</si>
  <si>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</si>
  <si>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</si>
  <si>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</si>
  <si>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</si>
  <si>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</si>
  <si>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</si>
  <si>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</si>
  <si>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</si>
  <si>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</si>
  <si>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</si>
  <si>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</si>
  <si>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</si>
  <si>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</si>
  <si>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</si>
  <si>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</si>
  <si>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</si>
  <si>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</si>
  <si>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</si>
  <si>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</si>
  <si>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</si>
  <si>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</si>
  <si>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</si>
  <si>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</si>
  <si>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</si>
  <si>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</si>
  <si>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</si>
  <si>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</si>
  <si>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</si>
  <si>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</si>
  <si>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</si>
  <si>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</si>
  <si>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</si>
  <si>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</si>
  <si>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</si>
  <si>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</si>
  <si>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</si>
  <si>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</si>
  <si>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</si>
  <si>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</si>
  <si>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</si>
  <si>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</si>
  <si>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</si>
  <si>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</si>
  <si>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</si>
  <si>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</si>
  <si>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</si>
  <si>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</si>
  <si>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</si>
  <si>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</si>
  <si>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</si>
  <si>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</si>
  <si>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</si>
  <si>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</si>
  <si>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</si>
  <si>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</si>
  <si>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</si>
  <si>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</si>
  <si>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</si>
  <si>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</si>
  <si>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</si>
  <si>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</si>
  <si>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</si>
  <si>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</si>
  <si>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</si>
  <si>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</si>
  <si>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</si>
  <si>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</si>
  <si>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</si>
  <si>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</si>
  <si>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</si>
  <si>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</si>
  <si>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</si>
  <si>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</si>
  <si>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</si>
  <si>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</si>
  <si>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</si>
  <si>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</si>
  <si>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</si>
  <si>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</si>
  <si>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</si>
  <si>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</si>
  <si>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</si>
  <si>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</si>
  <si>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</si>
  <si>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</si>
  <si>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</si>
  <si>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</si>
  <si>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</si>
  <si>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</si>
  <si>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</si>
  <si>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</si>
  <si>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</si>
  <si>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</si>
  <si>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</si>
  <si>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</si>
  <si>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</si>
  <si>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</si>
  <si>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</si>
  <si>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</si>
  <si>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</si>
  <si>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</si>
  <si>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</si>
  <si>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</si>
  <si>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</si>
  <si>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</si>
  <si>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</si>
  <si>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</si>
  <si>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</si>
  <si>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</si>
  <si>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</si>
  <si>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</si>
  <si>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</si>
  <si>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</si>
  <si>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</si>
  <si>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</si>
  <si>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</si>
  <si>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</si>
  <si>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</si>
  <si>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</si>
  <si>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</si>
  <si>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</si>
  <si>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</si>
  <si>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</si>
  <si>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</si>
  <si>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</si>
  <si>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</si>
  <si>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</si>
  <si>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</si>
  <si>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</si>
  <si>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</si>
  <si>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</si>
  <si>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</si>
  <si>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</si>
  <si>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</si>
  <si>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</si>
  <si>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</si>
  <si>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</si>
  <si>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</si>
  <si>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</si>
  <si>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</si>
  <si>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</si>
  <si>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</si>
  <si>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</si>
  <si>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</si>
  <si>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</si>
  <si>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</si>
  <si>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</si>
  <si>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</si>
  <si>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</si>
  <si>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</si>
  <si>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</si>
  <si>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</si>
  <si>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</si>
  <si>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</si>
  <si>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</si>
  <si>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</si>
  <si>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</si>
  <si>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</si>
  <si>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</si>
  <si>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</si>
  <si>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</si>
  <si>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</si>
  <si>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</si>
  <si>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</si>
  <si>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</si>
  <si>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</si>
  <si>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</si>
  <si>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</si>
  <si>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</si>
  <si>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</si>
  <si>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</si>
  <si>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</si>
  <si>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</si>
  <si>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</si>
  <si>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</si>
  <si>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</si>
  <si>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</si>
  <si>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</si>
  <si>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</si>
  <si>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</si>
  <si>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</si>
  <si>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</si>
  <si>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</si>
  <si>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</si>
  <si>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</si>
  <si>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</si>
  <si>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</si>
  <si>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</si>
  <si>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</si>
  <si>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</si>
  <si>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</si>
  <si>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</si>
  <si>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</si>
  <si>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</si>
  <si>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</si>
  <si>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</si>
  <si>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</si>
  <si>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</si>
  <si>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</si>
  <si>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</si>
  <si>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</si>
  <si>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</si>
  <si>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</si>
  <si>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</si>
  <si>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</si>
  <si>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</si>
  <si>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</si>
  <si>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</si>
  <si>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</si>
  <si>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</si>
  <si>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</si>
  <si>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</si>
  <si>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</si>
  <si>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</si>
  <si>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</si>
  <si>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</si>
  <si>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</si>
  <si>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</si>
  <si>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</si>
  <si>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</si>
  <si>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</si>
  <si>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</si>
  <si>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</si>
  <si>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</si>
  <si>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</si>
  <si>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</si>
  <si>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</si>
  <si>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</si>
  <si>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</si>
  <si>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</si>
  <si>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</si>
  <si>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</si>
  <si>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</si>
  <si>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</si>
  <si>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</si>
  <si>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</si>
  <si>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</si>
  <si>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</si>
  <si>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</si>
  <si>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</si>
  <si>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</si>
  <si>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</si>
  <si>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</si>
  <si>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</si>
  <si>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</si>
  <si>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</si>
  <si>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</si>
  <si>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</si>
  <si>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</si>
  <si>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</si>
  <si>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</si>
  <si>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</si>
  <si>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</si>
  <si>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</si>
  <si>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</si>
  <si>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</si>
  <si>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</si>
  <si>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</si>
  <si>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</si>
  <si>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</si>
  <si>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</si>
  <si>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</si>
  <si>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</si>
  <si>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</si>
  <si>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</si>
  <si>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</si>
  <si>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</si>
  <si>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</si>
  <si>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</si>
  <si>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</si>
  <si>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</si>
  <si>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</si>
  <si>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</si>
  <si>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</si>
  <si>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</si>
  <si>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</si>
  <si>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</si>
  <si>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</si>
  <si>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</si>
  <si>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</si>
  <si>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</si>
  <si>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</si>
  <si>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</si>
  <si>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</si>
  <si>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</si>
  <si>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</si>
  <si>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</si>
  <si>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</si>
  <si>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</si>
  <si>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</si>
  <si>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</si>
  <si>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</si>
  <si>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</si>
  <si>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</si>
  <si>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</si>
  <si>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</si>
  <si>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</si>
  <si>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</si>
  <si>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</si>
  <si>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</si>
  <si>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</si>
  <si>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</si>
  <si>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</si>
  <si>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</si>
  <si>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</si>
  <si>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</si>
  <si>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</si>
  <si>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</si>
  <si>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</si>
  <si>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</si>
  <si>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</si>
  <si>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</si>
  <si>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</si>
  <si>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</si>
  <si>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</si>
  <si>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</si>
  <si>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</si>
  <si>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</si>
  <si>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</si>
  <si>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</si>
  <si>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</si>
  <si>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</si>
  <si>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</si>
  <si>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</si>
  <si>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</si>
  <si>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</si>
  <si>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</si>
  <si>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</si>
  <si>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</si>
  <si>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</si>
  <si>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</si>
  <si>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</si>
  <si>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</si>
  <si>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</si>
  <si>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</si>
  <si>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</si>
  <si>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</si>
  <si>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</si>
  <si>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</si>
  <si>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</si>
  <si>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</si>
  <si>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</si>
  <si>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</si>
  <si>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</si>
  <si>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</si>
  <si>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</si>
  <si>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</si>
  <si>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</si>
  <si>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</si>
  <si>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</si>
  <si>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</si>
  <si>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</si>
  <si>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</si>
  <si>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</si>
  <si>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</si>
  <si>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</si>
  <si>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</si>
  <si>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</si>
  <si>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</si>
  <si>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</si>
  <si>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</si>
  <si>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</si>
  <si>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</si>
  <si>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</si>
  <si>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</si>
  <si>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</si>
  <si>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</si>
  <si>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</si>
  <si>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</si>
  <si>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</si>
  <si>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</si>
  <si>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</si>
  <si>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</si>
  <si>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</si>
  <si>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</si>
  <si>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</si>
  <si>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</si>
  <si>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</si>
  <si>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</si>
  <si>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</si>
  <si>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</si>
  <si>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</si>
  <si>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</si>
  <si>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</si>
  <si>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</si>
  <si>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</si>
  <si>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</si>
  <si>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</si>
  <si>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</si>
  <si>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</si>
  <si>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</si>
  <si>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</si>
  <si>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</si>
  <si>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</si>
  <si>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</si>
  <si>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</si>
  <si>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</si>
  <si>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</si>
  <si>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</si>
  <si>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</si>
  <si>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</si>
  <si>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</si>
  <si>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</si>
  <si>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</si>
  <si>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</si>
  <si>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</si>
  <si>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</si>
  <si>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</si>
  <si>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</si>
  <si>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</si>
  <si>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</si>
  <si>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</si>
  <si>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</si>
  <si>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</si>
  <si>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</si>
  <si>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</si>
  <si>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</si>
  <si>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</si>
  <si>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</si>
  <si>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</si>
  <si>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</si>
  <si>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</si>
  <si>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</si>
  <si>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</si>
  <si>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</si>
  <si>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</si>
  <si>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</si>
  <si>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</si>
  <si>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</si>
  <si>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</si>
  <si>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</si>
  <si>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</si>
  <si>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</si>
  <si>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</si>
  <si>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</si>
  <si>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</si>
  <si>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</si>
  <si>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</si>
  <si>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</si>
  <si>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</si>
  <si>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</si>
  <si>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</si>
  <si>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</si>
  <si>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</si>
  <si>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</si>
  <si>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</si>
  <si>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</si>
  <si>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</si>
  <si>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</si>
  <si>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</si>
  <si>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</si>
  <si>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</si>
  <si>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</si>
  <si>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</si>
  <si>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</si>
  <si>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</si>
  <si>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</si>
  <si>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</si>
  <si>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</si>
  <si>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</si>
  <si>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</si>
  <si>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</si>
  <si>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</si>
  <si>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</si>
  <si>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</si>
  <si>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</si>
  <si>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</si>
  <si>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</si>
  <si>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</si>
  <si>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</si>
  <si>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</si>
  <si>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</si>
  <si>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</si>
  <si>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</si>
  <si>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</si>
  <si>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</si>
  <si>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</si>
  <si>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</si>
  <si>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</si>
  <si>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</si>
  <si>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</si>
  <si>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</si>
  <si>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</si>
  <si>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</si>
  <si>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</si>
  <si>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</si>
  <si>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</si>
  <si>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</si>
  <si>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</si>
  <si>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</si>
  <si>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</si>
  <si>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</si>
  <si>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</si>
  <si>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</si>
  <si>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</si>
  <si>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</si>
  <si>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</si>
  <si>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</si>
  <si>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</si>
  <si>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</si>
  <si>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</si>
  <si>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</si>
  <si>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</si>
  <si>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</si>
  <si>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</si>
  <si>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</si>
  <si>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</si>
  <si>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</si>
  <si>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</si>
  <si>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</si>
  <si>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</si>
  <si>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</si>
  <si>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</si>
  <si>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</si>
  <si>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</si>
  <si>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</si>
  <si>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</si>
  <si>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</si>
  <si>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</si>
  <si>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</si>
  <si>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</si>
  <si>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</si>
  <si>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</si>
  <si>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</si>
  <si>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</si>
  <si>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</si>
  <si>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</si>
  <si>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</si>
  <si>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</si>
  <si>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</si>
  <si>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</si>
  <si>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</si>
  <si>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</si>
  <si>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</si>
  <si>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</si>
  <si>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</si>
  <si>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</si>
  <si>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</si>
  <si>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</si>
  <si>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</si>
  <si>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</si>
  <si>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</si>
  <si>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</si>
  <si>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</si>
  <si>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</si>
  <si>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</si>
  <si>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</si>
  <si>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</si>
  <si>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</si>
  <si>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</si>
  <si>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</si>
  <si>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</si>
  <si>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</si>
  <si>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</si>
  <si>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</si>
  <si>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</si>
  <si>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</si>
  <si>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</si>
  <si>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</si>
  <si>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</si>
  <si>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</si>
  <si>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</si>
  <si>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</si>
  <si>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</si>
  <si>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</si>
  <si>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</si>
  <si>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</si>
  <si>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</si>
  <si>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</si>
  <si>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</si>
  <si>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</si>
  <si>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</si>
  <si>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</si>
  <si>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</si>
  <si>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</si>
  <si>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</si>
  <si>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</si>
  <si>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</si>
  <si>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</si>
  <si>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</si>
  <si>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</si>
  <si>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</si>
  <si>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</si>
  <si>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</si>
  <si>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</si>
  <si>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</si>
  <si>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</si>
  <si>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</si>
  <si>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</si>
  <si>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</si>
  <si>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</si>
  <si>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</si>
  <si>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</si>
  <si>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</si>
  <si>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</si>
  <si>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</si>
  <si>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</si>
  <si>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</si>
  <si>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</si>
  <si>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</si>
  <si>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</si>
  <si>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</si>
  <si>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</si>
  <si>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</si>
  <si>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</si>
  <si>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</si>
  <si>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</si>
  <si>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</si>
  <si>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</si>
  <si>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</si>
  <si>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</si>
  <si>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</si>
  <si>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</si>
  <si>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</si>
  <si>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</si>
  <si>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</si>
  <si>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</si>
  <si>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</si>
  <si>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</si>
  <si>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</si>
  <si>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</si>
  <si>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</si>
  <si>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</si>
  <si>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</si>
  <si>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</si>
  <si>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</si>
  <si>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</si>
  <si>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</si>
  <si>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</si>
  <si>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</si>
  <si>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</si>
  <si>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</si>
  <si>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</si>
  <si>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</si>
  <si>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</si>
  <si>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</si>
  <si>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</si>
  <si>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</si>
  <si>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</si>
  <si>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</si>
  <si>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</si>
  <si>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</si>
  <si>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</si>
  <si>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</si>
  <si>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</si>
  <si>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</si>
  <si>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</si>
  <si>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</si>
  <si>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</si>
  <si>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</si>
  <si>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</si>
  <si>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</si>
  <si>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</si>
  <si>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</si>
  <si>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</si>
  <si>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</si>
  <si>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</si>
  <si>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</si>
  <si>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</si>
  <si>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</si>
  <si>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</si>
  <si>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</si>
  <si>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</si>
  <si>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</si>
  <si>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</si>
  <si>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</si>
  <si>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</si>
  <si>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</si>
  <si>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</si>
  <si>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</si>
  <si>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</si>
  <si>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</si>
  <si>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</si>
  <si>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</si>
  <si>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</si>
  <si>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</si>
  <si>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</si>
  <si>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</si>
  <si>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</si>
  <si>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</si>
  <si>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</si>
  <si>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</si>
  <si>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</si>
  <si>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</si>
  <si>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</si>
  <si>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</si>
  <si>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</si>
  <si>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</si>
  <si>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</si>
  <si>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</si>
  <si>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</si>
  <si>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</si>
  <si>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</si>
  <si>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</si>
  <si>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</si>
  <si>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</si>
  <si>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</si>
  <si>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</si>
  <si>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</si>
  <si>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</si>
  <si>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</si>
  <si>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</si>
  <si>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</si>
  <si>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</si>
  <si>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</si>
  <si>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</si>
  <si>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</si>
  <si>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</si>
  <si>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</si>
  <si>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</si>
  <si>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</si>
  <si>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</si>
  <si>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</si>
  <si>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</si>
  <si>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</si>
  <si>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</si>
  <si>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</si>
  <si>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</si>
  <si>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</si>
  <si>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</si>
  <si>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</si>
  <si>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</si>
  <si>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</si>
  <si>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</si>
  <si>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</si>
  <si>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</si>
  <si>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</si>
  <si>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</si>
  <si>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</si>
  <si>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</si>
  <si>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</si>
  <si>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</si>
  <si>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</si>
  <si>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</si>
  <si>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</si>
  <si>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</si>
  <si>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</si>
  <si>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</si>
  <si>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</si>
  <si>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</si>
  <si>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</si>
  <si>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</si>
  <si>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</si>
  <si>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</si>
  <si>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</si>
  <si>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</si>
  <si>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</si>
  <si>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</si>
  <si>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</si>
  <si>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</si>
  <si>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</si>
  <si>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</si>
  <si>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</si>
  <si>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</si>
  <si>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</si>
  <si>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</si>
  <si>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</si>
  <si>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</si>
  <si>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</si>
  <si>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</si>
  <si>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</si>
  <si>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</si>
  <si>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</si>
  <si>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</si>
  <si>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</si>
  <si>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</si>
  <si>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</si>
  <si>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</si>
  <si>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</si>
  <si>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</si>
  <si>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</si>
  <si>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</si>
  <si>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</si>
  <si>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</si>
  <si>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</si>
  <si>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</si>
  <si>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</si>
  <si>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</si>
  <si>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</si>
  <si>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</si>
  <si>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</si>
  <si>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</si>
  <si>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</si>
  <si>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</si>
  <si>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</si>
  <si>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</si>
  <si>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</si>
  <si>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</si>
  <si>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</si>
  <si>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</si>
  <si>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</si>
  <si>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</si>
  <si>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</si>
  <si>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</si>
  <si>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</si>
  <si>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</si>
  <si>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</si>
  <si>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</si>
  <si>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</si>
  <si>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</si>
  <si>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</si>
  <si>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</si>
  <si>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</si>
  <si>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</si>
  <si>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</si>
  <si>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</si>
  <si>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</si>
  <si>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</si>
  <si>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</si>
  <si>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</si>
  <si>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</si>
  <si>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</si>
  <si>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</si>
  <si>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</si>
  <si>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</si>
  <si>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</si>
  <si>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</si>
  <si>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</si>
  <si>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</si>
  <si>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</si>
  <si>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</si>
  <si>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</si>
  <si>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</si>
  <si>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</si>
  <si>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</si>
  <si>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</si>
  <si>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</si>
  <si>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</si>
  <si>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</si>
  <si>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</si>
  <si>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</si>
  <si>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</si>
  <si>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</si>
  <si>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</si>
  <si>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</si>
  <si>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</si>
  <si>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</si>
  <si>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</si>
  <si>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</si>
  <si>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</si>
  <si>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</si>
  <si>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</si>
  <si>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</si>
  <si>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</si>
  <si>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</si>
  <si>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</si>
  <si>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</si>
  <si>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</si>
  <si>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</si>
  <si>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</si>
  <si>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</si>
  <si>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</si>
  <si>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</si>
  <si>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</si>
  <si>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</si>
  <si>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</si>
  <si>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</si>
  <si>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</si>
  <si>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</si>
  <si>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</si>
  <si>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</si>
  <si>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</si>
  <si>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</si>
  <si>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</si>
  <si>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</si>
  <si>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</si>
  <si>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</si>
  <si>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</si>
  <si>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</si>
  <si>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</si>
  <si>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</si>
  <si>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</si>
  <si>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</si>
  <si>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</si>
  <si>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</si>
  <si>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</si>
  <si>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</si>
  <si>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</si>
  <si>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</si>
  <si>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</si>
  <si>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</si>
  <si>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</si>
  <si>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</si>
  <si>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</si>
  <si>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</si>
  <si>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</si>
  <si>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</si>
  <si>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</si>
  <si>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</si>
  <si>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</si>
  <si>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</si>
  <si>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</si>
  <si>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</si>
  <si>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</si>
  <si>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</si>
  <si>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</si>
  <si>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</si>
  <si>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</si>
  <si>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</si>
  <si>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</si>
  <si>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</si>
  <si>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</si>
  <si>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</si>
  <si>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</si>
  <si>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</si>
  <si>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</si>
  <si>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</si>
  <si>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</si>
  <si>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</si>
  <si>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</si>
  <si>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</si>
  <si>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</si>
  <si>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</si>
  <si>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</si>
  <si>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</si>
  <si>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</si>
  <si>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</si>
  <si>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</si>
  <si>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</si>
  <si>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</si>
  <si>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</si>
  <si>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</si>
  <si>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</si>
  <si>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</si>
  <si>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</si>
  <si>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</si>
  <si>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</si>
  <si>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</si>
  <si>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</si>
  <si>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</si>
  <si>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</si>
  <si>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</si>
  <si>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</si>
  <si>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</si>
  <si>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</si>
  <si>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</si>
  <si>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</si>
  <si>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</si>
  <si>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</si>
  <si>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</si>
  <si>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</si>
  <si>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</si>
  <si>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</si>
  <si>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</si>
  <si>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</si>
  <si>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</si>
  <si>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</si>
  <si>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</si>
  <si>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</si>
  <si>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</si>
  <si>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</si>
  <si>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</si>
  <si>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</si>
  <si>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</si>
  <si>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</si>
  <si>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</si>
  <si>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</si>
  <si>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</si>
  <si>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</si>
  <si>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</si>
  <si>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</si>
  <si>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</si>
  <si>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</si>
  <si>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</si>
  <si>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</si>
  <si>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</si>
  <si>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</si>
  <si>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</si>
  <si>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</si>
  <si>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</si>
  <si>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</si>
  <si>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</si>
  <si>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</si>
  <si>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</si>
  <si>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</si>
  <si>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</si>
  <si>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</si>
  <si>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</si>
  <si>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</si>
  <si>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</si>
  <si>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</si>
  <si>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</si>
  <si>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</si>
  <si>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</si>
  <si>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</si>
  <si>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</si>
  <si>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</si>
  <si>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</si>
  <si>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</si>
  <si>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</si>
  <si>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</si>
  <si>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</si>
  <si>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</si>
  <si>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</si>
  <si>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</si>
  <si>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</si>
  <si>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</si>
  <si>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</si>
  <si>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</si>
  <si>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</si>
  <si>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</si>
  <si>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</si>
  <si>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</si>
  <si>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</si>
  <si>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</si>
  <si>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</si>
  <si>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</si>
  <si>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</si>
  <si>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</si>
  <si>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</si>
  <si>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</si>
  <si>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</si>
  <si>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</si>
  <si>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</si>
  <si>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</si>
  <si>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</si>
  <si>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</si>
  <si>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</si>
  <si>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</si>
  <si>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</si>
  <si>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</si>
  <si>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</si>
  <si>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</si>
  <si>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</si>
  <si>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</si>
  <si>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</si>
  <si>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</si>
  <si>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</si>
  <si>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</si>
  <si>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</si>
  <si>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</si>
  <si>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</si>
  <si>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</si>
  <si>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</si>
  <si>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</si>
  <si>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</si>
  <si>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</si>
  <si>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</si>
  <si>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</si>
  <si>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</si>
  <si>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</si>
  <si>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</si>
  <si>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</si>
  <si>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</si>
  <si>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</si>
  <si>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</si>
  <si>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</si>
  <si>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</si>
  <si>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</si>
  <si>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</si>
  <si>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</si>
  <si>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</si>
  <si>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</si>
  <si>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</si>
  <si>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</si>
  <si>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</si>
  <si>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</si>
  <si>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</si>
  <si>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</si>
  <si>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</si>
  <si>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</si>
  <si>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</si>
  <si>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</si>
  <si>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</si>
  <si>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</si>
  <si>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</si>
  <si>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</si>
  <si>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</si>
  <si>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</si>
  <si>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</si>
  <si>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</si>
  <si>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</si>
  <si>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</si>
  <si>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</si>
  <si>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</si>
  <si>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</si>
  <si>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</si>
  <si>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</si>
  <si>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</si>
  <si>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</si>
  <si>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</si>
  <si>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</si>
  <si>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</si>
  <si>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</si>
  <si>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</si>
  <si>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</si>
  <si>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</si>
  <si>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</si>
  <si>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</si>
  <si>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</si>
  <si>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</si>
  <si>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</si>
  <si>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</si>
  <si>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</si>
  <si>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</si>
  <si>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</si>
  <si>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</si>
  <si>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</si>
  <si>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</si>
  <si>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</si>
  <si>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</si>
  <si>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</si>
  <si>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</si>
  <si>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</si>
  <si>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</si>
  <si>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</si>
  <si>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</si>
  <si>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</si>
  <si>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</si>
  <si>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</si>
  <si>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</si>
  <si>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</si>
  <si>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</si>
  <si>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</si>
  <si>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</si>
  <si>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</si>
  <si>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</si>
  <si>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</si>
  <si>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</si>
  <si>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</si>
  <si>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</si>
  <si>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</si>
  <si>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</si>
  <si>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</si>
  <si>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</si>
  <si>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</si>
  <si>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</si>
  <si>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</si>
  <si>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</si>
  <si>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</si>
  <si>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</si>
  <si>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</si>
  <si>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</si>
  <si>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</si>
  <si>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</si>
  <si>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</si>
  <si>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</si>
  <si>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</si>
  <si>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</si>
  <si>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</si>
  <si>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</si>
  <si>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</si>
  <si>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</si>
  <si>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</si>
  <si>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</si>
  <si>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</si>
  <si>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</si>
  <si>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</si>
  <si>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</si>
  <si>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</si>
  <si>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</si>
  <si>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</si>
  <si>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</si>
  <si>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</si>
  <si>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</si>
  <si>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</si>
  <si>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</si>
  <si>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</si>
  <si>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</si>
  <si>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</si>
  <si>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</si>
  <si>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</si>
  <si>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</si>
  <si>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</si>
  <si>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</si>
  <si>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</si>
  <si>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</si>
  <si>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</si>
  <si>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</si>
  <si>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</si>
  <si>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</si>
  <si>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</si>
  <si>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</si>
  <si>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</si>
  <si>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</si>
  <si>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</si>
  <si>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</si>
  <si>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</si>
  <si>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</si>
  <si>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</si>
  <si>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</si>
  <si>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</si>
  <si>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</si>
  <si>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</si>
  <si>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</si>
  <si>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</si>
  <si>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</si>
  <si>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</si>
  <si>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</si>
  <si>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</si>
  <si>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</si>
  <si>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</si>
  <si>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</si>
  <si>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</si>
  <si>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</si>
  <si>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</si>
  <si>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</si>
  <si>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</si>
  <si>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</si>
  <si>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</si>
  <si>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</si>
  <si>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</si>
  <si>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</si>
  <si>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</si>
  <si>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</si>
  <si>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</si>
  <si>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</si>
  <si>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</si>
  <si>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</si>
  <si>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</si>
  <si>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</si>
  <si>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</si>
  <si>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</si>
  <si>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</si>
  <si>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</si>
  <si>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</si>
  <si>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</si>
  <si>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</si>
  <si>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</si>
  <si>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</si>
  <si>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</si>
  <si>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</si>
  <si>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</si>
  <si>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</si>
  <si>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</si>
  <si>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</si>
  <si>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</si>
  <si>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</si>
  <si>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</si>
  <si>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</si>
  <si>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</si>
  <si>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</si>
  <si>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</si>
  <si>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</si>
  <si>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</si>
  <si>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</si>
  <si>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</si>
  <si>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</si>
  <si>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</si>
  <si>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</si>
  <si>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</si>
  <si>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</si>
  <si>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</si>
  <si>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</si>
  <si>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</si>
  <si>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</si>
  <si>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</si>
  <si>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</si>
  <si>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</si>
  <si>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</si>
  <si>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</si>
  <si>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</si>
  <si>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</si>
  <si>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</si>
  <si>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</si>
  <si>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</si>
  <si>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</si>
  <si>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</si>
  <si>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</si>
  <si>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</si>
  <si>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</si>
  <si>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</si>
  <si>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</si>
  <si>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</si>
  <si>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</si>
  <si>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</si>
  <si>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</si>
  <si>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</si>
  <si>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</si>
  <si>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</si>
  <si>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</si>
  <si>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</si>
  <si>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</si>
  <si>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</si>
  <si>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</si>
  <si>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</si>
  <si>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</si>
  <si>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</si>
  <si>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</si>
  <si>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</si>
  <si>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</si>
  <si>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</si>
  <si>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</si>
  <si>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</si>
  <si>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</si>
  <si>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</si>
  <si>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</si>
  <si>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</si>
  <si>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</si>
  <si>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</si>
  <si>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</si>
  <si>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</si>
  <si>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</si>
  <si>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</si>
  <si>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</si>
  <si>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</si>
  <si>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</si>
  <si>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</si>
  <si>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</si>
  <si>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</si>
  <si>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</si>
  <si>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</si>
  <si>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</si>
  <si>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</si>
  <si>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</si>
  <si>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</si>
  <si>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</si>
  <si>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</si>
  <si>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</si>
  <si>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</si>
  <si>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</si>
  <si>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</si>
  <si>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</si>
  <si>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</si>
  <si>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</si>
  <si>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</si>
  <si>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</si>
  <si>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</si>
  <si>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</si>
  <si>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</si>
  <si>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</si>
  <si>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</si>
  <si>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</si>
  <si>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</si>
  <si>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</si>
  <si>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</si>
  <si>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</si>
  <si>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</si>
  <si>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</si>
  <si>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</si>
  <si>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</si>
  <si>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</si>
  <si>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</si>
  <si>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</si>
  <si>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</si>
  <si>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</si>
  <si>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</si>
  <si>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</si>
  <si>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</si>
  <si>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</si>
  <si>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</si>
  <si>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</si>
  <si>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</si>
  <si>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</si>
  <si>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</si>
  <si>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</si>
  <si>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</si>
  <si>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</si>
  <si>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</si>
  <si>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</si>
  <si>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</si>
  <si>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</si>
  <si>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</si>
  <si>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</si>
  <si>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</si>
  <si>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</si>
  <si>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</si>
  <si>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</si>
  <si>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</si>
  <si>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</si>
  <si>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</si>
  <si>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</si>
  <si>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</si>
  <si>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</si>
  <si>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</si>
  <si>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</si>
  <si>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</si>
  <si>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</si>
  <si>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</si>
  <si>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</si>
  <si>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</si>
  <si>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</si>
  <si>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</si>
  <si>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</si>
  <si>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</si>
  <si>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</si>
  <si>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</si>
  <si>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</si>
  <si>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</si>
  <si>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</si>
  <si>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</si>
  <si>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</si>
  <si>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</si>
  <si>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</si>
  <si>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</si>
  <si>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</si>
  <si>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</si>
  <si>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</si>
  <si>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</si>
  <si>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</si>
  <si>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</si>
  <si>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</si>
  <si>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</si>
  <si>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</si>
  <si>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</si>
  <si>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</si>
  <si>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</si>
  <si>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</si>
  <si>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</si>
  <si>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</si>
  <si>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</si>
  <si>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</si>
  <si>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</si>
  <si>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</si>
  <si>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</si>
  <si>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</si>
  <si>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</si>
  <si>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</si>
  <si>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</si>
  <si>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</si>
  <si>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</si>
  <si>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</si>
  <si>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</si>
  <si>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</si>
  <si>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</si>
  <si>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</si>
  <si>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</si>
  <si>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</si>
  <si>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</si>
  <si>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</si>
  <si>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</si>
  <si>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</si>
  <si>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</si>
  <si>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</si>
  <si>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</si>
  <si>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</si>
  <si>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</si>
  <si>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</si>
  <si>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</si>
  <si>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</si>
  <si>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</si>
  <si>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</si>
  <si>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</si>
  <si>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</si>
  <si>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</si>
  <si>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</si>
  <si>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</si>
  <si>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</si>
  <si>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</si>
  <si>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</si>
  <si>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</si>
  <si>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</si>
  <si>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</si>
  <si>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</si>
  <si>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</si>
  <si>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</si>
  <si>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</si>
  <si>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</si>
  <si>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</si>
  <si>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</si>
  <si>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</si>
  <si>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</si>
  <si>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</si>
  <si>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</si>
  <si>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</si>
  <si>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</si>
  <si>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</si>
  <si>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</si>
  <si>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</si>
  <si>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</si>
  <si>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</si>
  <si>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</si>
  <si>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</si>
  <si>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</si>
  <si>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</si>
  <si>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</si>
  <si>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</si>
  <si>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</si>
  <si>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</si>
  <si>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</si>
  <si>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</si>
  <si>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</si>
  <si>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</si>
  <si>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</si>
  <si>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</si>
  <si>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</si>
  <si>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</si>
  <si>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</si>
  <si>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</si>
  <si>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</si>
  <si>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</si>
  <si>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</si>
  <si>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</si>
  <si>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</si>
  <si>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</si>
  <si>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</si>
  <si>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</si>
  <si>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</si>
  <si>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</si>
  <si>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</si>
  <si>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</si>
  <si>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</si>
  <si>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</si>
  <si>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</si>
  <si>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</si>
  <si>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</si>
  <si>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</si>
  <si>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</si>
  <si>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</si>
  <si>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</si>
  <si>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</si>
  <si>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</si>
  <si>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</si>
  <si>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</si>
  <si>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</si>
  <si>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</si>
  <si>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</si>
  <si>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</si>
  <si>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</si>
  <si>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</si>
  <si>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</si>
  <si>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</si>
  <si>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</si>
  <si>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</si>
  <si>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</si>
  <si>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</si>
  <si>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</si>
  <si>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</si>
  <si>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</si>
  <si>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</si>
  <si>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</si>
  <si>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</si>
  <si>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</si>
  <si>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</si>
  <si>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</si>
  <si>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</si>
  <si>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</si>
  <si>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</si>
  <si>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</si>
  <si>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</si>
  <si>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</si>
  <si>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</si>
  <si>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</si>
  <si>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</si>
  <si>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</si>
  <si>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</si>
  <si>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</si>
  <si>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</si>
  <si>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</si>
  <si>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</si>
  <si>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</si>
  <si>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</si>
  <si>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</si>
  <si>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</si>
  <si>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</si>
  <si>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</si>
  <si>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</si>
  <si>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</si>
  <si>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</si>
  <si>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</si>
  <si>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</si>
  <si>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</si>
  <si>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</si>
  <si>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</si>
  <si>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</si>
  <si>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</si>
  <si>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</si>
  <si>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</si>
  <si>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</si>
  <si>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</si>
  <si>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</si>
  <si>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</si>
  <si>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</si>
  <si>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</si>
  <si>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</si>
  <si>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</si>
  <si>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</si>
  <si>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</si>
  <si>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</si>
  <si>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</si>
  <si>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</si>
  <si>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</si>
  <si>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</si>
  <si>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</si>
  <si>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</si>
  <si>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</si>
  <si>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</si>
  <si>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</si>
  <si>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</si>
  <si>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</si>
  <si>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</si>
  <si>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</si>
  <si>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</si>
  <si>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</si>
  <si>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</si>
  <si>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</si>
  <si>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</si>
  <si>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</si>
  <si>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</si>
  <si>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</si>
  <si>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</si>
  <si>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</si>
  <si>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</si>
  <si>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</si>
  <si>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</si>
  <si>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</si>
  <si>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</si>
  <si>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</si>
  <si>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</si>
  <si>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</si>
  <si>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</si>
  <si>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</si>
  <si>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</si>
  <si>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</si>
  <si>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</si>
  <si>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</si>
  <si>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</si>
  <si>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</si>
  <si>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</si>
  <si>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</si>
  <si>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</si>
  <si>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</si>
  <si>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</si>
  <si>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</si>
  <si>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</si>
  <si>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</si>
  <si>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</si>
  <si>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</si>
  <si>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</si>
  <si>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</si>
  <si>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</si>
  <si>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</si>
  <si>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</si>
  <si>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</si>
  <si>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</si>
  <si>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</si>
  <si>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</si>
  <si>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</si>
  <si>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</si>
  <si>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</si>
  <si>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</si>
  <si>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</si>
  <si>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</si>
  <si>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</si>
  <si>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</si>
  <si>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</si>
  <si>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</si>
  <si>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</si>
  <si>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</si>
  <si>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</si>
  <si>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</si>
  <si>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</si>
  <si>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</si>
  <si>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</si>
  <si>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</si>
  <si>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</si>
  <si>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</si>
  <si>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</si>
  <si>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</si>
  <si>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</si>
  <si>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</si>
  <si>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</si>
  <si>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</si>
  <si>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</si>
  <si>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</si>
  <si>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</si>
  <si>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</si>
  <si>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</si>
  <si>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</si>
  <si>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</si>
  <si>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</si>
  <si>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</si>
  <si>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</si>
  <si>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</si>
  <si>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</si>
  <si>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</si>
  <si>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</si>
  <si>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</si>
  <si>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</si>
  <si>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</si>
  <si>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</si>
  <si>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</si>
  <si>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</si>
  <si>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</si>
  <si>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</si>
  <si>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</si>
  <si>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</si>
  <si>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</si>
  <si>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</si>
  <si>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</si>
  <si>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</si>
  <si>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</si>
  <si>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</si>
  <si>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</si>
  <si>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</si>
  <si>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</si>
  <si>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</si>
  <si>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</si>
  <si>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</si>
  <si>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</si>
  <si>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</si>
  <si>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</si>
  <si>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</si>
  <si>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</si>
  <si>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</si>
  <si>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</si>
  <si>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</si>
  <si>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</si>
  <si>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</si>
  <si>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</si>
  <si>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</si>
  <si>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</si>
  <si>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</si>
  <si>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</si>
  <si>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</si>
  <si>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</si>
  <si>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</si>
  <si>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</si>
  <si>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</si>
  <si>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</si>
  <si>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</si>
  <si>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</si>
  <si>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</si>
  <si>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</si>
  <si>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</si>
  <si>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</si>
  <si>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</si>
  <si>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</si>
  <si>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</si>
  <si>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</si>
  <si>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</si>
  <si>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</si>
  <si>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</si>
  <si>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</si>
  <si>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</si>
  <si>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</si>
  <si>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</si>
  <si>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</si>
  <si>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</si>
  <si>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</si>
  <si>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</si>
  <si>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</si>
  <si>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</si>
  <si>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</si>
  <si>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</si>
  <si>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</si>
  <si>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</si>
  <si>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</si>
  <si>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</si>
  <si>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</si>
  <si>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</si>
  <si>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</si>
  <si>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</si>
  <si>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</si>
  <si>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</si>
  <si>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</si>
  <si>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</si>
  <si>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</si>
  <si>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</si>
  <si>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</si>
  <si>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</si>
  <si>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</si>
  <si>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</si>
  <si>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</si>
  <si>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</si>
  <si>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</si>
  <si>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</si>
  <si>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</si>
  <si>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</si>
  <si>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</si>
  <si>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</si>
  <si>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</si>
  <si>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</si>
  <si>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</si>
  <si>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</si>
  <si>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</si>
  <si>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</si>
  <si>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</si>
  <si>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</si>
  <si>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</si>
  <si>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</si>
  <si>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</si>
  <si>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</si>
  <si>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</si>
  <si>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</si>
  <si>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</si>
  <si>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</si>
  <si>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</si>
  <si>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</si>
  <si>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</si>
  <si>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</si>
  <si>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</si>
  <si>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</si>
  <si>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</si>
  <si>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</si>
  <si>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</si>
  <si>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</si>
  <si>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</si>
  <si>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</si>
  <si>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</si>
  <si>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</si>
  <si>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</si>
  <si>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</si>
  <si>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</si>
  <si>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</si>
  <si>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</si>
  <si>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</si>
  <si>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</si>
  <si>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</si>
  <si>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</si>
  <si>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</si>
  <si>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</si>
  <si>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</si>
  <si>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</si>
  <si>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</si>
  <si>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</si>
  <si>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</si>
  <si>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</si>
  <si>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</si>
  <si>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</si>
  <si>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</si>
  <si>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</si>
  <si>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</si>
  <si>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</si>
  <si>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</si>
  <si>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</si>
  <si>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</si>
  <si>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</si>
  <si>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</si>
  <si>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</si>
  <si>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</si>
  <si>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</si>
  <si>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</si>
  <si>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</si>
  <si>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</si>
  <si>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</si>
  <si>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</si>
  <si>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</si>
  <si>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</si>
  <si>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</si>
  <si>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</si>
  <si>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</si>
  <si>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</si>
  <si>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</si>
  <si>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</si>
  <si>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</si>
  <si>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</si>
  <si>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</si>
  <si>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</si>
  <si>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</si>
  <si>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</si>
  <si>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</si>
  <si>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</si>
  <si>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</si>
  <si>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</si>
  <si>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</si>
  <si>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</si>
  <si>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</si>
  <si>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</si>
  <si>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</si>
  <si>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</si>
  <si>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</si>
  <si>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</si>
  <si>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</si>
  <si>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</si>
  <si>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</si>
  <si>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</si>
  <si>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</si>
  <si>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</si>
  <si>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</si>
  <si>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</si>
  <si>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</si>
  <si>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</si>
  <si>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</si>
  <si>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</si>
  <si>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</si>
  <si>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</si>
  <si>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</si>
  <si>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</si>
  <si>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</si>
  <si>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</si>
  <si>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</si>
  <si>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</si>
  <si>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</si>
  <si>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</si>
  <si>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</si>
  <si>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</si>
  <si>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</si>
  <si>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</si>
  <si>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</si>
  <si>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</si>
  <si>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</si>
  <si>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</si>
  <si>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</si>
  <si>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</si>
  <si>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</si>
  <si>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</si>
  <si>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</si>
  <si>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</si>
  <si>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</si>
  <si>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</si>
  <si>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</si>
  <si>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</si>
  <si>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</si>
  <si>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</si>
  <si>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</si>
  <si>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</si>
  <si>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</si>
  <si>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</si>
  <si>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</si>
  <si>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</si>
  <si>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</si>
  <si>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</si>
  <si>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</si>
  <si>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</si>
  <si>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</si>
  <si>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</si>
  <si>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</si>
  <si>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</si>
  <si>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</si>
  <si>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</si>
  <si>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</si>
  <si>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</si>
  <si>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</si>
  <si>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</si>
  <si>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</si>
  <si>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</si>
  <si>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</si>
  <si>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</si>
  <si>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</si>
  <si>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</si>
  <si>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</si>
  <si>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</si>
  <si>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</si>
  <si>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</si>
  <si>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</si>
  <si>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</si>
  <si>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</si>
  <si>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</si>
  <si>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</si>
  <si>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</si>
  <si>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</si>
  <si>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</si>
  <si>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</si>
  <si>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</si>
  <si>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</si>
  <si>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</si>
  <si>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</si>
  <si>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</si>
  <si>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</si>
  <si>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</si>
  <si>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</si>
  <si>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</si>
  <si>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</si>
  <si>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</si>
  <si>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</si>
  <si>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</si>
  <si>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</si>
  <si>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</si>
  <si>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</si>
  <si>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</si>
  <si>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</si>
  <si>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</si>
  <si>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</si>
  <si>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</si>
  <si>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</si>
  <si>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</si>
  <si>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</si>
  <si>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</si>
  <si>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</si>
  <si>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</si>
  <si>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</si>
  <si>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</si>
  <si>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</si>
  <si>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</si>
  <si>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</si>
  <si>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</si>
  <si>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</si>
  <si>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</si>
  <si>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</si>
  <si>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</si>
  <si>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</si>
  <si>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</si>
  <si>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</si>
  <si>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</si>
  <si>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</si>
  <si>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</si>
  <si>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</si>
  <si>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</si>
  <si>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</si>
  <si>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</si>
  <si>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</si>
  <si>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</si>
  <si>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</si>
  <si>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</si>
  <si>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</si>
  <si>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</si>
  <si>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</si>
  <si>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</si>
  <si>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</si>
  <si>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</si>
  <si>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</si>
  <si>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</si>
  <si>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</si>
  <si>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</si>
  <si>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</si>
  <si>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</si>
  <si>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</si>
  <si>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</si>
  <si>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</si>
  <si>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</si>
  <si>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</si>
  <si>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</si>
  <si>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</si>
  <si>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</si>
  <si>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</si>
  <si>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</si>
  <si>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</si>
  <si>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</si>
  <si>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</si>
  <si>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</si>
  <si>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</si>
  <si>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</si>
  <si>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</si>
  <si>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</si>
  <si>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</si>
  <si>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</si>
  <si>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</si>
  <si>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</si>
  <si>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</si>
  <si>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</si>
  <si>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</si>
  <si>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</si>
  <si>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</si>
  <si>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</si>
  <si>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</si>
  <si>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</si>
  <si>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</si>
  <si>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</si>
  <si>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</si>
  <si>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</si>
  <si>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</si>
  <si>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</si>
  <si>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</si>
  <si>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</si>
  <si>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</si>
  <si>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</si>
  <si>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</si>
  <si>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</si>
  <si>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</si>
  <si>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</si>
  <si>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</si>
  <si>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</si>
  <si>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</si>
  <si>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</si>
  <si>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</si>
  <si>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</si>
  <si>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</si>
  <si>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</si>
  <si>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</si>
  <si>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</si>
  <si>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</si>
  <si>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</si>
  <si>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</si>
  <si>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</si>
  <si>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</si>
  <si>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</si>
  <si>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</si>
  <si>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</si>
  <si>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</si>
  <si>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</si>
  <si>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</si>
  <si>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</si>
  <si>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</si>
  <si>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</si>
  <si>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</si>
  <si>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</si>
  <si>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</si>
  <si>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</si>
  <si>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</si>
  <si>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</si>
  <si>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</si>
  <si>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</si>
  <si>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</si>
  <si>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</si>
  <si>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</si>
  <si>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</si>
  <si>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</si>
  <si>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</si>
  <si>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</si>
  <si>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</si>
  <si>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</si>
  <si>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</si>
  <si>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</si>
  <si>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</si>
  <si>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</si>
  <si>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</si>
  <si>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</si>
  <si>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</si>
  <si>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</si>
  <si>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</si>
  <si>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</si>
  <si>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</si>
  <si>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</si>
  <si>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</si>
  <si>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</si>
  <si>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</si>
  <si>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</si>
  <si>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</si>
  <si>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</si>
  <si>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</si>
  <si>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</si>
  <si>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</si>
  <si>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</si>
  <si>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</si>
  <si>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</si>
  <si>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</si>
  <si>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</si>
  <si>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</si>
  <si>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</si>
  <si>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</si>
  <si>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</si>
  <si>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</si>
  <si>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</si>
  <si>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</si>
  <si>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</si>
  <si>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</si>
  <si>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</si>
  <si>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</si>
  <si>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</si>
  <si>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</si>
  <si>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</si>
  <si>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</si>
  <si>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</si>
  <si>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</si>
  <si>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</si>
  <si>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</si>
  <si>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</si>
  <si>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</si>
  <si>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</si>
  <si>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</si>
  <si>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</si>
  <si>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</si>
  <si>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</si>
  <si>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</si>
  <si>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</si>
  <si>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</si>
  <si>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</si>
  <si>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</si>
  <si>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</si>
  <si>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</si>
  <si>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</si>
  <si>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</si>
  <si>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</si>
  <si>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</si>
  <si>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</si>
  <si>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</si>
  <si>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</si>
  <si>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</si>
  <si>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</si>
  <si>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</si>
  <si>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</si>
  <si>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</si>
  <si>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</si>
  <si>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</si>
  <si>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</si>
  <si>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</si>
  <si>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</si>
  <si>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</si>
  <si>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</si>
  <si>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</si>
  <si>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</si>
  <si>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</si>
  <si>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</si>
  <si>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</si>
  <si>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</si>
  <si>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</si>
  <si>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</si>
  <si>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</si>
  <si>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</si>
  <si>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</si>
  <si>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</si>
  <si>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</si>
  <si>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</si>
  <si>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</si>
  <si>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</si>
  <si>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</si>
  <si>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</si>
  <si>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</si>
  <si>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</si>
  <si>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</si>
  <si>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</si>
  <si>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</si>
  <si>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</si>
  <si>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</si>
  <si>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</si>
  <si>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</si>
  <si>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</si>
  <si>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</si>
  <si>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</si>
  <si>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</si>
  <si>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</si>
  <si>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</si>
  <si>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</si>
  <si>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</si>
  <si>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</si>
  <si>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</si>
  <si>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</si>
  <si>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</si>
  <si>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</si>
  <si>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</si>
  <si>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</si>
  <si>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</si>
  <si>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</si>
  <si>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</si>
  <si>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</si>
  <si>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</si>
  <si>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</si>
  <si>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</si>
  <si>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</si>
  <si>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</si>
  <si>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</si>
  <si>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</si>
  <si>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</si>
  <si>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</si>
  <si>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</si>
  <si>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</si>
  <si>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</si>
  <si>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</si>
  <si>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</si>
  <si>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</si>
  <si>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</si>
  <si>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</si>
  <si>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</si>
  <si>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</si>
  <si>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</si>
  <si>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</si>
  <si>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</si>
  <si>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</si>
  <si>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</si>
  <si>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</si>
  <si>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</si>
  <si>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</si>
  <si>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</si>
  <si>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</si>
  <si>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</si>
  <si>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</si>
  <si>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</si>
  <si>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</si>
  <si>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</si>
  <si>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</si>
  <si>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</si>
  <si>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</si>
  <si>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</si>
  <si>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</si>
  <si>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</si>
  <si>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</si>
  <si>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</si>
  <si>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</si>
  <si>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</si>
  <si>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</si>
  <si>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</si>
  <si>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</si>
  <si>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</si>
  <si>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</si>
  <si>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</si>
  <si>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</si>
  <si>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</si>
  <si>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</si>
  <si>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</si>
  <si>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</si>
  <si>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</si>
  <si>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</si>
  <si>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</si>
  <si>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</si>
  <si>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</si>
  <si>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</si>
  <si>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</si>
  <si>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</si>
  <si>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</si>
  <si>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</si>
  <si>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</si>
  <si>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</si>
  <si>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</si>
  <si>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</si>
  <si>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</si>
  <si>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</si>
  <si>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</si>
  <si>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</si>
  <si>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</si>
  <si>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</si>
  <si>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</si>
  <si>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</si>
  <si>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</si>
  <si>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</si>
  <si>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</si>
  <si>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</si>
  <si>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</si>
  <si>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</si>
  <si>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</si>
  <si>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</si>
  <si>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</si>
  <si>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</si>
  <si>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</si>
  <si>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</si>
  <si>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</si>
  <si>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</si>
  <si>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</si>
  <si>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</si>
  <si>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</si>
  <si>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</si>
  <si>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</si>
  <si>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</si>
  <si>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</si>
  <si>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</si>
  <si>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</si>
  <si>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</si>
  <si>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</si>
  <si>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</si>
  <si>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</si>
  <si>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</si>
  <si>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</si>
  <si>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</si>
  <si>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</si>
  <si>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</si>
  <si>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</si>
  <si>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</si>
  <si>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</si>
  <si>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</si>
  <si>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</si>
  <si>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</si>
  <si>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</si>
  <si>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</si>
  <si>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</si>
  <si>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</si>
  <si>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</si>
  <si>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</si>
  <si>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</si>
  <si>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</si>
  <si>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</si>
  <si>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</si>
  <si>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</si>
  <si>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</si>
  <si>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</si>
  <si>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</si>
  <si>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</si>
  <si>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</si>
  <si>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</si>
  <si>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</si>
  <si>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</si>
  <si>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</si>
  <si>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</si>
  <si>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</si>
  <si>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</si>
  <si>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</si>
  <si>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</si>
  <si>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</si>
  <si>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</si>
  <si>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</si>
  <si>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</si>
  <si>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</si>
  <si>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</si>
  <si>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</si>
  <si>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</si>
  <si>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</si>
  <si>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</si>
  <si>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</si>
  <si>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</si>
  <si>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</si>
  <si>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</si>
  <si>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</si>
  <si>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</si>
  <si>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</si>
  <si>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</si>
  <si>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</si>
  <si>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</si>
  <si>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</si>
  <si>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</si>
  <si>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</si>
  <si>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</si>
  <si>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</si>
  <si>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</si>
  <si>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</si>
  <si>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</si>
  <si>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</si>
  <si>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</si>
  <si>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</si>
  <si>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</si>
  <si>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</si>
  <si>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</si>
  <si>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</si>
  <si>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</si>
  <si>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</si>
  <si>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</si>
  <si>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</si>
  <si>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</si>
  <si>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</si>
  <si>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</si>
  <si>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</si>
  <si>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</si>
  <si>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</si>
  <si>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</si>
  <si>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</si>
  <si>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</si>
  <si>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</si>
  <si>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</si>
  <si>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</si>
  <si>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</si>
  <si>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</si>
  <si>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</si>
  <si>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</si>
  <si>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</si>
  <si>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</si>
  <si>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</si>
  <si>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</si>
  <si>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</si>
  <si>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</si>
  <si>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</si>
  <si>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</si>
  <si>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</si>
  <si>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</si>
  <si>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</si>
  <si>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</si>
  <si>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</si>
  <si>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</si>
  <si>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</si>
  <si>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</si>
  <si>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</si>
  <si>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</si>
  <si>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</si>
  <si>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</si>
  <si>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</si>
  <si>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</si>
  <si>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</si>
  <si>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</si>
  <si>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</si>
  <si>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</si>
  <si>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</si>
  <si>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</si>
  <si>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</si>
  <si>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</si>
  <si>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</si>
  <si>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</si>
  <si>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</si>
  <si>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</si>
  <si>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</si>
  <si>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</si>
  <si>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</si>
  <si>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</si>
  <si>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</si>
  <si>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</si>
  <si>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</si>
  <si>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</si>
  <si>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</si>
  <si>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</si>
  <si>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</si>
  <si>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</si>
  <si>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</si>
  <si>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</si>
  <si>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</si>
  <si>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</si>
  <si>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</si>
  <si>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</si>
  <si>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</si>
  <si>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</si>
  <si>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</si>
  <si>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</si>
  <si>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</si>
  <si>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</si>
  <si>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</si>
  <si>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</si>
  <si>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</si>
  <si>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</si>
  <si>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</si>
  <si>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</si>
  <si>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</si>
  <si>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</si>
  <si>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</si>
  <si>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</si>
  <si>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</si>
  <si>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</si>
  <si>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</si>
  <si>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</si>
  <si>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</si>
  <si>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</si>
  <si>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</si>
  <si>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</si>
  <si>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</si>
  <si>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</si>
  <si>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</si>
  <si>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</si>
  <si>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</si>
  <si>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</si>
  <si>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</si>
  <si>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</si>
  <si>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</si>
  <si>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</si>
  <si>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</si>
  <si>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</si>
  <si>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</si>
  <si>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</si>
  <si>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</si>
  <si>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</si>
  <si>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</si>
  <si>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</si>
  <si>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</si>
  <si>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</si>
  <si>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</si>
  <si>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</si>
  <si>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</si>
  <si>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</si>
  <si>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</si>
  <si>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</si>
  <si>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</si>
  <si>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</si>
  <si>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</si>
  <si>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</si>
  <si>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</si>
  <si>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</si>
  <si>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</si>
  <si>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</si>
  <si>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</si>
  <si>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</si>
  <si>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</si>
  <si>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</si>
  <si>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</si>
  <si>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</si>
  <si>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</si>
  <si>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</si>
  <si>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</si>
  <si>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</si>
  <si>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</si>
  <si>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</si>
  <si>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</si>
  <si>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</si>
  <si>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</si>
  <si>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</si>
  <si>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</si>
  <si>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</si>
  <si>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</si>
  <si>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</si>
  <si>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</si>
  <si>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</si>
  <si>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</si>
  <si>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</si>
  <si>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</si>
  <si>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</si>
  <si>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</si>
  <si>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</si>
  <si>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</si>
  <si>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</si>
  <si>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</si>
  <si>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</si>
  <si>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</si>
  <si>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</si>
  <si>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</si>
  <si>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</si>
  <si>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</si>
  <si>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</si>
  <si>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</si>
  <si>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</si>
  <si>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</si>
  <si>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</si>
  <si>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</si>
  <si>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</si>
  <si>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</si>
  <si>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</si>
  <si>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</si>
  <si>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</si>
  <si>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</si>
  <si>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</si>
  <si>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</si>
  <si>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</si>
  <si>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</si>
  <si>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</si>
  <si>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</si>
  <si>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</si>
  <si>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</si>
  <si>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</si>
  <si>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</si>
  <si>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</si>
  <si>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</si>
  <si>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</si>
  <si>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</si>
  <si>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</si>
  <si>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</si>
  <si>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</si>
  <si>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</si>
  <si>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</si>
  <si>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</si>
  <si>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</si>
  <si>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</si>
  <si>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</si>
  <si>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</si>
  <si>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</si>
  <si>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</si>
  <si>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</si>
  <si>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</si>
  <si>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</si>
  <si>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</si>
  <si>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</si>
  <si>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</si>
  <si>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</si>
  <si>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</si>
  <si>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</si>
  <si>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</si>
  <si>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</si>
  <si>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</si>
  <si>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</si>
  <si>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</si>
  <si>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</si>
  <si>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</si>
  <si>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</si>
  <si>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</si>
  <si>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</si>
  <si>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</si>
  <si>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</si>
  <si>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</si>
  <si>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</si>
  <si>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</si>
  <si>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</si>
  <si>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</si>
  <si>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</si>
  <si>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</si>
  <si>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</si>
  <si>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</si>
  <si>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</si>
  <si>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</si>
  <si>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</si>
  <si>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</si>
  <si>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</si>
  <si>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</si>
  <si>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</si>
  <si>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</si>
  <si>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</si>
  <si>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</si>
  <si>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</si>
  <si>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</si>
  <si>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</si>
  <si>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</si>
  <si>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</si>
  <si>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</si>
  <si>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</si>
  <si>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</si>
  <si>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</si>
  <si>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</si>
  <si>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</si>
  <si>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</si>
  <si>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</si>
  <si>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</si>
  <si>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</si>
  <si>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</si>
  <si>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</si>
  <si>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</si>
  <si>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</si>
  <si>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</si>
  <si>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</si>
  <si>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</si>
  <si>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</si>
  <si>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</si>
  <si>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</si>
  <si>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</si>
  <si>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</si>
  <si>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</si>
  <si>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</si>
  <si>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</si>
  <si>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</si>
  <si>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</si>
  <si>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</si>
  <si>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</si>
  <si>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</si>
  <si>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</si>
  <si>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</si>
  <si>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</si>
  <si>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</si>
  <si>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</si>
  <si>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</si>
  <si>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</si>
  <si>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</si>
  <si>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</si>
  <si>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</si>
  <si>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</si>
  <si>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</si>
  <si>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</si>
  <si>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</si>
  <si>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</si>
  <si>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</si>
  <si>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</si>
  <si>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</si>
  <si>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</si>
  <si>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</si>
  <si>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</si>
  <si>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</si>
  <si>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</si>
  <si>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</si>
  <si>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</si>
  <si>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</si>
  <si>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</si>
  <si>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</si>
  <si>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</si>
  <si>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</si>
  <si>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</si>
  <si>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</si>
  <si>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</si>
  <si>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</si>
  <si>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</si>
  <si>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</si>
  <si>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</si>
  <si>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</si>
  <si>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</si>
  <si>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</si>
  <si>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</si>
  <si>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</si>
  <si>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</si>
  <si>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</si>
  <si>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</si>
  <si>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</si>
  <si>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</si>
  <si>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</si>
  <si>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</si>
  <si>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</si>
  <si>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</si>
  <si>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</si>
  <si>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</si>
  <si>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</si>
  <si>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</si>
  <si>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</si>
  <si>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</si>
  <si>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</si>
  <si>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</si>
  <si>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</si>
  <si>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</si>
  <si>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</si>
  <si>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</si>
  <si>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</si>
  <si>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</si>
  <si>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</si>
  <si>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</si>
  <si>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</si>
  <si>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</si>
  <si>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</si>
  <si>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</si>
  <si>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</si>
  <si>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</si>
  <si>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</si>
  <si>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</si>
  <si>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</si>
  <si>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</si>
  <si>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</si>
  <si>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</si>
  <si>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</si>
  <si>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</si>
  <si>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</si>
  <si>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</si>
  <si>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</si>
  <si>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</si>
  <si>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</si>
  <si>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</si>
  <si>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</si>
  <si>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</si>
  <si>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</si>
  <si>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</si>
  <si>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</si>
  <si>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</si>
  <si>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</si>
  <si>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</si>
  <si>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</si>
  <si>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</si>
  <si>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</si>
  <si>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</si>
  <si>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</si>
  <si>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</si>
  <si>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</si>
  <si>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</si>
  <si>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</si>
  <si>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</si>
  <si>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</si>
  <si>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</si>
  <si>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</si>
  <si>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</si>
  <si>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</si>
  <si>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</si>
  <si>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</si>
  <si>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</si>
  <si>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</si>
  <si>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</si>
  <si>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</si>
  <si>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</si>
  <si>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</si>
  <si>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</si>
  <si>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</si>
  <si>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</si>
  <si>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</si>
  <si>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</si>
  <si>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</si>
  <si>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</si>
  <si>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</si>
  <si>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</si>
  <si>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</si>
  <si>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</si>
  <si>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</si>
  <si>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</si>
  <si>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</si>
  <si>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</si>
  <si>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</si>
  <si>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</si>
  <si>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</si>
  <si>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</si>
  <si>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</si>
  <si>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</si>
  <si>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</si>
  <si>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</si>
  <si>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</si>
  <si>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</si>
  <si>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</si>
  <si>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</si>
  <si>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</si>
  <si>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</si>
  <si>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</si>
  <si>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</si>
  <si>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</si>
  <si>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</si>
  <si>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</si>
  <si>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</si>
  <si>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</si>
  <si>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</si>
  <si>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</si>
  <si>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</si>
  <si>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</si>
  <si>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</si>
  <si>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</si>
  <si>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</si>
  <si>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</si>
  <si>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</si>
  <si>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</si>
  <si>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</si>
  <si>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</si>
  <si>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</si>
  <si>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</si>
  <si>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</si>
  <si>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</si>
  <si>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</si>
  <si>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</si>
  <si>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</si>
  <si>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</si>
  <si>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</si>
  <si>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</si>
  <si>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</si>
  <si>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</si>
  <si>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</si>
  <si>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</si>
  <si>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</si>
  <si>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</si>
  <si>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</si>
  <si>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</si>
  <si>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</si>
  <si>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</si>
  <si>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</si>
  <si>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</si>
  <si>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</si>
  <si>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</si>
  <si>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</si>
  <si>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</si>
  <si>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</si>
  <si>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</si>
  <si>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</si>
  <si>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</si>
  <si>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</si>
  <si>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</si>
  <si>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</si>
  <si>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</si>
  <si>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</si>
  <si>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</si>
  <si>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</si>
  <si>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</si>
  <si>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</si>
  <si>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</si>
  <si>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</si>
  <si>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</si>
  <si>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</si>
  <si>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</si>
  <si>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</si>
  <si>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</si>
  <si>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</si>
  <si>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</si>
  <si>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</si>
  <si>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</si>
  <si>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</si>
  <si>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</si>
  <si>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</si>
  <si>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</si>
  <si>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</si>
  <si>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</si>
  <si>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</si>
  <si>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</si>
  <si>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</si>
  <si>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</si>
  <si>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</si>
  <si>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</si>
  <si>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</si>
  <si>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</si>
  <si>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</si>
  <si>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</si>
  <si>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</si>
  <si>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</si>
  <si>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</si>
  <si>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</si>
  <si>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</si>
  <si>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</si>
  <si>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</si>
  <si>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</si>
  <si>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</si>
  <si>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</si>
  <si>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</si>
  <si>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</si>
  <si>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</si>
  <si>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</si>
  <si>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</si>
  <si>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</si>
  <si>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</si>
  <si>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</si>
  <si>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</si>
  <si>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</si>
  <si>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</si>
  <si>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</si>
  <si>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</si>
  <si>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</si>
  <si>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</si>
  <si>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</si>
  <si>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</si>
  <si>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</si>
  <si>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</si>
  <si>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</si>
  <si>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</si>
  <si>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</si>
  <si>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</si>
  <si>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</si>
  <si>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</si>
  <si>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</si>
  <si>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</si>
  <si>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</si>
  <si>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</si>
  <si>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</si>
  <si>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</si>
  <si>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</si>
  <si>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</si>
  <si>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</si>
  <si>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</si>
  <si>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</si>
  <si>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</si>
  <si>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</si>
  <si>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</si>
  <si>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</si>
  <si>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</si>
  <si>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</si>
  <si>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</si>
  <si>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</si>
  <si>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</si>
  <si>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</si>
  <si>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</si>
  <si>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</si>
  <si>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</si>
  <si>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</si>
  <si>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</si>
  <si>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</si>
  <si>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</si>
  <si>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</si>
  <si>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</si>
  <si>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</si>
  <si>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</si>
  <si>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</si>
  <si>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</si>
  <si>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</si>
  <si>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</si>
  <si>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</si>
  <si>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</si>
  <si>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</si>
  <si>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</si>
  <si>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</si>
  <si>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</si>
  <si>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</si>
  <si>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</si>
  <si>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</si>
  <si>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</si>
  <si>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</si>
  <si>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</si>
  <si>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</si>
  <si>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</si>
  <si>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</si>
  <si>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</si>
  <si>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</si>
  <si>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</si>
  <si>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</si>
  <si>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</si>
  <si>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</si>
  <si>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</si>
  <si>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</si>
  <si>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</si>
  <si>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</si>
  <si>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</si>
  <si>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</si>
  <si>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</si>
  <si>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</si>
  <si>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</si>
  <si>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</si>
  <si>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</si>
  <si>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</si>
  <si>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</si>
  <si>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</si>
  <si>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</si>
  <si>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</si>
  <si>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</si>
  <si>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</si>
  <si>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</si>
  <si>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</si>
  <si>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</si>
  <si>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</si>
  <si>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</si>
  <si>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</si>
  <si>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</si>
  <si>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</si>
  <si>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</si>
  <si>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</si>
  <si>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</si>
  <si>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</si>
  <si>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</si>
  <si>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</si>
  <si>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</si>
  <si>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</si>
  <si>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</si>
  <si>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</si>
  <si>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</si>
  <si>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</si>
  <si>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</si>
  <si>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</si>
  <si>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</si>
  <si>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</si>
  <si>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</si>
  <si>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</si>
  <si>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</si>
  <si>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</si>
  <si>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</si>
  <si>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</si>
  <si>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</si>
  <si>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</si>
  <si>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</si>
  <si>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</si>
  <si>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</si>
  <si>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</si>
  <si>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</si>
  <si>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</si>
  <si>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</si>
  <si>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</si>
  <si>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</si>
  <si>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</si>
  <si>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</si>
  <si>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</si>
  <si>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</si>
  <si>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</si>
  <si>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</si>
  <si>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</si>
  <si>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</si>
  <si>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</si>
  <si>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</si>
  <si>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</si>
  <si>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</si>
  <si>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</si>
  <si>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</si>
  <si>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</si>
  <si>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</si>
  <si>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</si>
  <si>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</si>
  <si>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</si>
  <si>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</si>
  <si>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</si>
  <si>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</si>
  <si>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</si>
  <si>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</si>
  <si>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</si>
  <si>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</si>
  <si>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</si>
  <si>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</si>
  <si>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</si>
  <si>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</si>
  <si>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</si>
  <si>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</si>
  <si>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</si>
  <si>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</si>
  <si>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</si>
  <si>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</si>
  <si>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</si>
  <si>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</si>
  <si>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</si>
  <si>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</si>
  <si>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</si>
  <si>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</si>
  <si>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</si>
  <si>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</si>
  <si>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</si>
  <si>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</si>
  <si>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</si>
  <si>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</si>
  <si>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</si>
  <si>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</si>
  <si>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</si>
  <si>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</si>
  <si>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</si>
  <si>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</si>
  <si>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</si>
  <si>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</si>
  <si>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</si>
  <si>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</si>
  <si>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</si>
  <si>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</si>
  <si>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</si>
  <si>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</si>
  <si>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</si>
  <si>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</si>
  <si>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</si>
  <si>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</si>
  <si>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</si>
  <si>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</si>
  <si>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</si>
  <si>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</si>
  <si>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</si>
  <si>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</si>
  <si>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</si>
  <si>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</si>
  <si>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</si>
  <si>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</si>
  <si>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</si>
  <si>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</si>
  <si>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</si>
  <si>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</si>
  <si>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</si>
  <si>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</si>
  <si>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</si>
  <si>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</si>
  <si>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</si>
  <si>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</si>
  <si>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</si>
  <si>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</si>
  <si>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</si>
  <si>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</si>
  <si>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</si>
  <si>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</si>
  <si>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</si>
  <si>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</si>
  <si>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</si>
  <si>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</si>
  <si>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</si>
  <si>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</si>
  <si>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</si>
  <si>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</si>
  <si>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</si>
  <si>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</si>
  <si>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</si>
  <si>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</si>
  <si>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</si>
  <si>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</si>
  <si>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</si>
  <si>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</si>
  <si>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</si>
  <si>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</si>
  <si>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</si>
  <si>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</si>
  <si>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</si>
  <si>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</si>
  <si>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</si>
  <si>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</si>
  <si>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</si>
  <si>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</si>
  <si>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</si>
  <si>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</si>
  <si>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</si>
  <si>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</si>
  <si>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</si>
  <si>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</si>
  <si>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</si>
  <si>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</si>
  <si>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</si>
  <si>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</si>
  <si>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</si>
  <si>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</si>
  <si>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</si>
  <si>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</si>
  <si>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</si>
  <si>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</si>
  <si>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</si>
  <si>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</si>
  <si>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</si>
  <si>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</si>
  <si>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</si>
  <si>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</si>
  <si>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</si>
  <si>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</si>
  <si>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</si>
  <si>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</si>
  <si>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</si>
  <si>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</si>
  <si>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</si>
  <si>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</si>
  <si>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</si>
  <si>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</si>
  <si>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</si>
  <si>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</si>
  <si>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</si>
  <si>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</si>
  <si>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</si>
  <si>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</si>
  <si>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</si>
  <si>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</si>
  <si>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</si>
  <si>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</si>
  <si>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</si>
  <si>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</si>
  <si>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</si>
  <si>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</si>
  <si>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</si>
  <si>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</si>
  <si>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</si>
  <si>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</si>
  <si>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</si>
  <si>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</si>
  <si>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</si>
  <si>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</si>
  <si>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</si>
  <si>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</si>
  <si>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</si>
  <si>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</si>
  <si>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</si>
  <si>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</si>
  <si>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</si>
  <si>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</si>
  <si>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</si>
  <si>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</si>
  <si>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</si>
  <si>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</si>
  <si>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</si>
  <si>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</si>
  <si>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</si>
  <si>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</si>
  <si>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</si>
  <si>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</si>
  <si>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</si>
  <si>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</si>
  <si>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</si>
  <si>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</si>
  <si>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</si>
  <si>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</si>
  <si>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</si>
  <si>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</si>
  <si>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</si>
  <si>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</si>
  <si>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</si>
  <si>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</si>
  <si>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</si>
  <si>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</si>
  <si>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</si>
  <si>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</si>
  <si>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</si>
  <si>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</si>
  <si>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</si>
  <si>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</si>
  <si>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</si>
  <si>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</si>
  <si>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</si>
  <si>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</si>
  <si>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</si>
  <si>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</si>
  <si>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</si>
  <si>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</si>
  <si>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</si>
  <si>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</si>
  <si>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</si>
  <si>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</si>
  <si>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</si>
  <si>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</si>
  <si>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</si>
  <si>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</si>
  <si>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</si>
  <si>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</si>
  <si>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</si>
  <si>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</si>
  <si>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</si>
  <si>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</si>
  <si>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</si>
  <si>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</si>
  <si>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</si>
  <si>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</si>
  <si>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</si>
  <si>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</si>
  <si>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</si>
  <si>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</si>
  <si>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</si>
  <si>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</si>
  <si>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</si>
  <si>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</si>
  <si>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</si>
  <si>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</si>
  <si>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</si>
  <si>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</si>
  <si>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</si>
  <si>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</si>
  <si>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</si>
  <si>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</si>
  <si>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</si>
  <si>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</si>
  <si>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</si>
  <si>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</si>
  <si>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</si>
  <si>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</si>
  <si>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</si>
  <si>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</si>
  <si>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</si>
  <si>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</si>
  <si>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</si>
  <si>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</si>
  <si>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</si>
  <si>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</si>
  <si>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</si>
  <si>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</si>
  <si>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</si>
  <si>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</si>
  <si>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</si>
  <si>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</si>
  <si>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</si>
  <si>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</si>
  <si>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</si>
  <si>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</si>
  <si>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</si>
  <si>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</si>
  <si>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</si>
  <si>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</si>
  <si>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</si>
  <si>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</si>
  <si>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</si>
  <si>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</si>
  <si>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</si>
  <si>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</si>
  <si>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</si>
  <si>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</si>
  <si>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</si>
  <si>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</si>
  <si>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</si>
  <si>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</si>
  <si>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</si>
  <si>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</si>
  <si>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</si>
  <si>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</si>
  <si>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</si>
  <si>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</si>
  <si>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</si>
  <si>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</si>
  <si>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</si>
  <si>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</si>
  <si>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</si>
  <si>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</si>
  <si>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</si>
  <si>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</si>
  <si>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</si>
  <si>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</si>
  <si>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</si>
  <si>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</si>
  <si>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</si>
  <si>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</si>
  <si>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</si>
  <si>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</si>
  <si>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</si>
  <si>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</si>
  <si>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</si>
  <si>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</si>
  <si>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</si>
  <si>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</si>
  <si>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</si>
  <si>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</si>
  <si>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</si>
  <si>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</si>
  <si>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</si>
  <si>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</si>
  <si>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</si>
  <si>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</si>
  <si>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</si>
  <si>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</si>
  <si>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</si>
  <si>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</si>
  <si>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</si>
  <si>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</si>
  <si>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</si>
  <si>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</si>
  <si>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</si>
  <si>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</si>
  <si>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</si>
  <si>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</si>
  <si>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</si>
  <si>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</si>
  <si>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</si>
  <si>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</si>
  <si>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</si>
  <si>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</si>
  <si>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</si>
  <si>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</si>
  <si>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</si>
  <si>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</si>
  <si>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</si>
  <si>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</si>
  <si>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</si>
  <si>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</si>
  <si>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</si>
  <si>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</si>
  <si>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</si>
  <si>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</si>
  <si>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</si>
  <si>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</si>
  <si>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</si>
  <si>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</si>
  <si>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</si>
  <si>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</si>
  <si>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</si>
  <si>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</si>
  <si>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</si>
  <si>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</si>
  <si>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</si>
  <si>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</si>
  <si>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</si>
  <si>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</si>
  <si>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</si>
  <si>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</si>
  <si>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</si>
  <si>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</si>
  <si>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</si>
  <si>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</si>
  <si>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</si>
  <si>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</si>
  <si>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</si>
  <si>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</si>
  <si>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</si>
  <si>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</si>
  <si>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</si>
  <si>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</si>
  <si>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</si>
  <si>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</si>
  <si>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</si>
  <si>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</si>
  <si>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</si>
  <si>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</si>
  <si>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</si>
  <si>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</si>
  <si>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</si>
  <si>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</si>
  <si>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</si>
  <si>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</si>
  <si>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</si>
  <si>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</si>
  <si>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</si>
  <si>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</si>
  <si>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</si>
  <si>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</si>
  <si>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</si>
  <si>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</si>
  <si>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</si>
  <si>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</si>
  <si>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</si>
  <si>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</si>
  <si>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</si>
  <si>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</si>
  <si>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</si>
  <si>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</si>
  <si>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</si>
  <si>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</si>
  <si>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</si>
  <si>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</si>
  <si>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</si>
  <si>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</si>
  <si>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</si>
  <si>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</si>
  <si>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</si>
  <si>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</si>
  <si>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</si>
  <si>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</si>
  <si>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</si>
  <si>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</si>
  <si>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</si>
  <si>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</si>
  <si>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</si>
  <si>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</si>
  <si>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</si>
  <si>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</si>
  <si>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</si>
  <si>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</si>
  <si>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</si>
  <si>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</si>
  <si>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</si>
  <si>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</si>
  <si>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</si>
  <si>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</si>
  <si>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</si>
  <si>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</si>
  <si>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</si>
  <si>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</si>
  <si>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</si>
  <si>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</si>
  <si>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</si>
  <si>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</si>
  <si>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</si>
  <si>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</si>
  <si>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</si>
  <si>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</si>
  <si>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</si>
  <si>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</si>
  <si>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</si>
  <si>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</si>
  <si>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</si>
  <si>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</si>
  <si>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</si>
  <si>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</si>
  <si>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</si>
  <si>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</si>
  <si>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</si>
  <si>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</si>
  <si>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</si>
  <si>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</si>
  <si>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</si>
  <si>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</si>
  <si>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</si>
  <si>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</si>
  <si>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</si>
  <si>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</si>
  <si>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</si>
  <si>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</si>
  <si>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</si>
  <si>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</si>
  <si>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</si>
  <si>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</si>
  <si>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</si>
  <si>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</si>
  <si>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</si>
  <si>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</si>
  <si>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</si>
  <si>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</si>
  <si>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</si>
  <si>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</si>
  <si>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</si>
  <si>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</si>
  <si>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</si>
  <si>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</si>
  <si>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</si>
  <si>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</si>
  <si>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</si>
  <si>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</si>
  <si>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</si>
  <si>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</si>
  <si>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</si>
  <si>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</si>
  <si>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</si>
  <si>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</si>
  <si>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</si>
  <si>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</si>
  <si>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</si>
  <si>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</si>
  <si>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</si>
  <si>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</si>
  <si>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</si>
  <si>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</si>
  <si>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</si>
  <si>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</si>
  <si>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</si>
  <si>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</si>
  <si>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</si>
  <si>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</si>
  <si>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</si>
  <si>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</si>
  <si>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</si>
  <si>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</si>
  <si>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</si>
  <si>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</si>
  <si>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</si>
  <si>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</si>
  <si>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</si>
  <si>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</si>
  <si>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</si>
  <si>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</si>
  <si>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</si>
  <si>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</si>
  <si>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</si>
  <si>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</si>
  <si>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</si>
  <si>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</si>
  <si>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</si>
  <si>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</si>
  <si>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</si>
  <si>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</si>
  <si>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</si>
  <si>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</si>
  <si>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</si>
  <si>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</si>
  <si>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</si>
  <si>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</si>
  <si>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</si>
  <si>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</si>
  <si>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</si>
  <si>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</si>
  <si>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</si>
  <si>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</si>
  <si>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</si>
  <si>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</si>
  <si>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</si>
  <si>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</si>
  <si>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</si>
  <si>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</si>
  <si>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</si>
  <si>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</si>
  <si>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</si>
  <si>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</si>
  <si>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</si>
  <si>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</si>
  <si>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</si>
  <si>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</si>
  <si>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</si>
  <si>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</si>
  <si>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</si>
  <si>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</si>
  <si>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</si>
  <si>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</si>
  <si>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</si>
  <si>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</si>
  <si>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</si>
  <si>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</si>
  <si>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</si>
  <si>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</si>
  <si>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</si>
  <si>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</si>
  <si>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</si>
  <si>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</si>
  <si>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</si>
  <si>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</si>
  <si>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</si>
  <si>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</si>
  <si>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</si>
  <si>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</si>
  <si>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</si>
  <si>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</si>
  <si>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</si>
  <si>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</si>
  <si>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</si>
  <si>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</si>
  <si>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</si>
  <si>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</si>
  <si>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</si>
  <si>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</si>
  <si>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</si>
  <si>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</si>
  <si>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</si>
  <si>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</si>
  <si>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</si>
  <si>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</si>
  <si>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</si>
  <si>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</si>
  <si>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</si>
  <si>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</si>
  <si>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</si>
  <si>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</si>
  <si>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</si>
  <si>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</si>
  <si>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</si>
  <si>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</si>
  <si>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</si>
  <si>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</si>
  <si>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</si>
  <si>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</si>
  <si>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</si>
  <si>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</si>
  <si>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</si>
  <si>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</si>
  <si>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</si>
  <si>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</si>
  <si>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</si>
  <si>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</si>
  <si>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</si>
  <si>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</si>
  <si>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</si>
  <si>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</si>
  <si>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</si>
  <si>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</si>
  <si>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</si>
  <si>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</si>
  <si>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</si>
  <si>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</si>
  <si>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</si>
  <si>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</si>
  <si>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</si>
  <si>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</si>
  <si>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</si>
  <si>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</si>
  <si>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</si>
  <si>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</si>
  <si>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</si>
  <si>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</si>
  <si>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</si>
  <si>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</si>
  <si>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</si>
  <si>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</si>
  <si>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</si>
  <si>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</si>
  <si>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</si>
  <si>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</si>
  <si>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</si>
  <si>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</si>
  <si>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</si>
  <si>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</si>
  <si>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</si>
  <si>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</si>
  <si>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</si>
  <si>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</si>
  <si>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</si>
  <si>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</si>
  <si>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</si>
  <si>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</si>
  <si>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</si>
  <si>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</si>
  <si>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</si>
  <si>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</si>
  <si>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</si>
  <si>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</si>
  <si>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</si>
  <si>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</si>
  <si>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</si>
  <si>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</si>
  <si>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</si>
  <si>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</si>
  <si>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</si>
  <si>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</si>
  <si>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</si>
  <si>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</si>
  <si>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</si>
  <si>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</si>
  <si>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</si>
  <si>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</si>
  <si>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</si>
  <si>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</si>
  <si>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</si>
  <si>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</si>
  <si>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</si>
  <si>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</si>
  <si>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</si>
  <si>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</si>
  <si>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</si>
  <si>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</si>
  <si>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</si>
  <si>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</si>
  <si>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</si>
  <si>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</si>
  <si>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</si>
  <si>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</si>
  <si>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</si>
  <si>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</si>
  <si>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</si>
  <si>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</si>
  <si>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</si>
  <si>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</si>
  <si>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</si>
  <si>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</si>
  <si>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</si>
  <si>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</si>
  <si>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</si>
  <si>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</si>
  <si>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</si>
  <si>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</si>
  <si>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</si>
  <si>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</si>
  <si>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</si>
  <si>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</si>
  <si>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</si>
  <si>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</si>
  <si>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</si>
  <si>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</si>
  <si>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</si>
  <si>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</si>
  <si>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</si>
  <si>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</si>
  <si>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</si>
  <si>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</si>
  <si>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</si>
  <si>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</si>
  <si>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</si>
  <si>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</si>
  <si>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</si>
  <si>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</si>
  <si>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</si>
  <si>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</si>
  <si>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</si>
  <si>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</si>
  <si>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</si>
  <si>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</si>
  <si>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</si>
  <si>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</si>
  <si>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</si>
  <si>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</si>
  <si>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</si>
  <si>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</si>
  <si>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</si>
  <si>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</si>
  <si>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</si>
  <si>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</si>
  <si>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</si>
  <si>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</si>
  <si>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</si>
  <si>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</si>
  <si>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</si>
  <si>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</si>
  <si>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</si>
  <si>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</si>
  <si>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</si>
  <si>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</si>
  <si>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</si>
  <si>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</si>
  <si>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</si>
  <si>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</si>
  <si>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</si>
  <si>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</si>
  <si>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</si>
  <si>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</si>
  <si>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</si>
  <si>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</si>
  <si>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</si>
  <si>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</si>
  <si>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</si>
  <si>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</si>
  <si>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</si>
  <si>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</si>
  <si>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</si>
  <si>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</si>
  <si>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</si>
  <si>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</si>
  <si>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</si>
  <si>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</si>
  <si>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</si>
  <si>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</si>
  <si>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</si>
  <si>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</si>
  <si>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</si>
  <si>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</si>
  <si>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</si>
  <si>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</si>
  <si>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</si>
  <si>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</si>
  <si>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</si>
  <si>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</si>
  <si>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</si>
  <si>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</si>
  <si>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</si>
  <si>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</si>
  <si>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</si>
  <si>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</si>
  <si>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</si>
  <si>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</si>
  <si>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</si>
  <si>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</si>
  <si>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</si>
  <si>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</si>
  <si>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</si>
  <si>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</si>
  <si>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</si>
  <si>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</si>
  <si>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</si>
  <si>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</si>
  <si>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</si>
  <si>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</si>
  <si>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</si>
  <si>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</si>
  <si>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</si>
  <si>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</si>
  <si>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</si>
  <si>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</si>
  <si>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</si>
  <si>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</si>
  <si>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</si>
  <si>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</si>
  <si>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</si>
  <si>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</si>
  <si>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</si>
  <si>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</si>
  <si>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</si>
  <si>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</si>
  <si>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</si>
  <si>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</si>
  <si>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</si>
  <si>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</si>
  <si>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</si>
  <si>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</si>
  <si>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</si>
  <si>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</si>
  <si>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</si>
  <si>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</si>
  <si>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</si>
  <si>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</si>
  <si>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</si>
  <si>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</si>
  <si>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</si>
  <si>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</si>
  <si>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</si>
  <si>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</si>
  <si>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</si>
  <si>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</si>
  <si>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</si>
  <si>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</si>
  <si>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</si>
  <si>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</si>
  <si>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</si>
  <si>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</si>
  <si>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</si>
  <si>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</si>
  <si>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</si>
  <si>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</si>
  <si>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</si>
  <si>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</si>
  <si>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</si>
  <si>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</si>
  <si>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</si>
  <si>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</si>
  <si>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</si>
  <si>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</si>
  <si>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</si>
  <si>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</si>
  <si>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</si>
  <si>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</si>
  <si>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</si>
  <si>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</si>
  <si>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</si>
  <si>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</si>
  <si>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</si>
  <si>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</si>
  <si>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</si>
  <si>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</si>
  <si>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</si>
  <si>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</si>
  <si>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</si>
  <si>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</si>
  <si>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</si>
  <si>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</si>
  <si>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</si>
  <si>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</si>
  <si>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</si>
  <si>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</si>
  <si>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</si>
  <si>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</si>
  <si>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</si>
  <si>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</si>
  <si>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</si>
  <si>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</si>
  <si>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</si>
  <si>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</si>
  <si>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</si>
  <si>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</si>
  <si>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</si>
  <si>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</si>
  <si>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</si>
  <si>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</si>
  <si>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</si>
  <si>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</si>
  <si>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</si>
  <si>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</si>
  <si>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</si>
  <si>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</si>
  <si>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</si>
  <si>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</si>
  <si>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</si>
  <si>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</si>
  <si>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</si>
  <si>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</si>
  <si>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</si>
  <si>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</si>
  <si>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</si>
  <si>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</si>
  <si>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</si>
  <si>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</si>
  <si>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</si>
  <si>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</si>
  <si>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</si>
  <si>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</si>
  <si>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</si>
  <si>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</si>
  <si>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</si>
  <si>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</si>
  <si>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</si>
  <si>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</si>
  <si>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</si>
  <si>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</si>
  <si>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</si>
  <si>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</si>
  <si>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</si>
  <si>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</si>
  <si>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</si>
  <si>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</si>
  <si>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</si>
  <si>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</si>
  <si>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</si>
  <si>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</si>
  <si>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</si>
  <si>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</si>
  <si>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</si>
  <si>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</si>
  <si>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</si>
  <si>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</si>
  <si>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</si>
  <si>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</si>
  <si>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</si>
  <si>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</si>
  <si>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</si>
  <si>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</si>
  <si>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</si>
  <si>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</si>
  <si>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</si>
  <si>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</si>
  <si>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</si>
  <si>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</si>
  <si>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</si>
  <si>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</si>
  <si>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</si>
  <si>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</si>
  <si>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</si>
  <si>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</si>
  <si>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</si>
  <si>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</si>
  <si>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</si>
  <si>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</si>
  <si>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</si>
  <si>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</si>
  <si>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</si>
  <si>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</si>
  <si>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</si>
  <si>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</si>
  <si>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</si>
  <si>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</si>
  <si>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</si>
  <si>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</si>
  <si>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</si>
  <si>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</si>
  <si>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</si>
  <si>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</si>
  <si>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</si>
  <si>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</si>
  <si>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</si>
  <si>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</si>
  <si>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</si>
  <si>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</si>
  <si>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</si>
  <si>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</si>
  <si>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</si>
  <si>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</si>
  <si>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</si>
  <si>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</si>
  <si>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</si>
  <si>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</si>
  <si>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</si>
  <si>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</si>
  <si>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</si>
  <si>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</si>
  <si>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</si>
  <si>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</si>
  <si>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</si>
  <si>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</si>
  <si>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</si>
  <si>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</si>
  <si>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</si>
  <si>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</si>
  <si>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</si>
  <si>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</si>
  <si>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</si>
  <si>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</si>
  <si>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</si>
  <si>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</si>
  <si>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</si>
  <si>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</si>
  <si>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</si>
  <si>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</si>
  <si>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</si>
  <si>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</si>
  <si>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</si>
  <si>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</si>
  <si>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</si>
  <si>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</si>
  <si>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</si>
  <si>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</si>
  <si>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</si>
  <si>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</si>
  <si>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</si>
  <si>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</si>
  <si>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</si>
  <si>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</si>
  <si>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</si>
  <si>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</si>
  <si>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</si>
  <si>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</si>
  <si>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</si>
  <si>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</si>
  <si>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</si>
  <si>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</si>
  <si>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</si>
  <si>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</si>
  <si>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</si>
  <si>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</si>
  <si>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</si>
  <si>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</si>
  <si>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</si>
  <si>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</si>
  <si>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</si>
  <si>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</si>
  <si>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</si>
  <si>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</si>
  <si>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</si>
  <si>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</si>
  <si>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</si>
  <si>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</si>
  <si>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</si>
  <si>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</si>
  <si>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</si>
  <si>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</si>
  <si>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</si>
  <si>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</si>
  <si>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</si>
  <si>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</si>
  <si>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</si>
  <si>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</si>
  <si>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</si>
  <si>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</si>
  <si>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</si>
  <si>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</si>
  <si>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</si>
  <si>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</si>
  <si>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</si>
  <si>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</si>
  <si>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</si>
  <si>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</si>
  <si>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</si>
  <si>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</si>
  <si>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</si>
  <si>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</si>
  <si>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</si>
  <si>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</si>
  <si>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</si>
  <si>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</si>
  <si>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</si>
  <si>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</si>
  <si>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</si>
  <si>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</si>
  <si>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</si>
  <si>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</si>
  <si>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</si>
  <si>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</si>
  <si>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</si>
  <si>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</si>
  <si>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</si>
  <si>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</si>
  <si>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</si>
  <si>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</si>
  <si>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</si>
  <si>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</si>
  <si>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</si>
  <si>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</si>
  <si>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</si>
  <si>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</si>
  <si>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</si>
  <si>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</si>
  <si>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</si>
  <si>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</si>
  <si>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</si>
  <si>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</si>
  <si>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</si>
  <si>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</si>
  <si>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</si>
  <si>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</si>
  <si>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</si>
  <si>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</si>
  <si>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</si>
  <si>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</si>
  <si>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</si>
  <si>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</si>
  <si>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</si>
  <si>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</si>
  <si>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</si>
  <si>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</si>
  <si>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</si>
  <si>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</si>
  <si>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</si>
  <si>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</si>
  <si>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</si>
  <si>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</si>
  <si>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</si>
  <si>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</si>
  <si>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</si>
  <si>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</si>
  <si>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</si>
  <si>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</si>
  <si>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</si>
  <si>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</si>
  <si>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</si>
  <si>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</si>
  <si>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</si>
  <si>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</si>
  <si>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</si>
  <si>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</si>
  <si>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</si>
  <si>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</si>
  <si>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</si>
  <si>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</si>
  <si>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</si>
  <si>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</si>
  <si>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</si>
  <si>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</si>
  <si>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</si>
  <si>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</si>
  <si>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</si>
  <si>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</si>
  <si>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</si>
  <si>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</si>
  <si>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</si>
  <si>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</si>
  <si>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</si>
  <si>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</si>
  <si>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</si>
  <si>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</si>
  <si>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</si>
  <si>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</si>
  <si>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</si>
  <si>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</si>
  <si>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</si>
  <si>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</si>
  <si>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</si>
  <si>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</si>
  <si>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</si>
  <si>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</si>
  <si>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</si>
  <si>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</si>
  <si>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</si>
  <si>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</si>
  <si>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</si>
  <si>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</si>
  <si>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</si>
  <si>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</si>
  <si>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</si>
  <si>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</si>
  <si>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</si>
  <si>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</si>
  <si>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</si>
  <si>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</si>
  <si>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</si>
  <si>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</si>
  <si>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</si>
  <si>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</si>
  <si>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</si>
  <si>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</si>
  <si>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</si>
  <si>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</si>
  <si>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</si>
  <si>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</si>
  <si>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</si>
  <si>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</si>
  <si>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</si>
  <si>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</si>
  <si>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</si>
  <si>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</si>
  <si>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</si>
  <si>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</si>
  <si>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</si>
  <si>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</si>
  <si>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</si>
  <si>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</si>
  <si>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</si>
  <si>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</si>
  <si>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</si>
  <si>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</si>
  <si>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</si>
  <si>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</si>
  <si>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</si>
  <si>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</si>
  <si>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</si>
  <si>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</si>
  <si>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</si>
  <si>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</si>
  <si>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</si>
  <si>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</si>
  <si>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</si>
  <si>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</si>
  <si>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</si>
  <si>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</si>
  <si>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</si>
  <si>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</si>
  <si>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</si>
  <si>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</si>
  <si>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</si>
  <si>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</si>
  <si>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</si>
  <si>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</si>
  <si>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</si>
  <si>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</si>
  <si>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</si>
  <si>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</si>
  <si>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</si>
  <si>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</si>
  <si>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</si>
  <si>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</si>
  <si>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</si>
  <si>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</si>
  <si>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</si>
  <si>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</si>
  <si>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</si>
  <si>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</si>
  <si>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</si>
  <si>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</si>
  <si>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</si>
  <si>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</si>
  <si>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</si>
  <si>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</si>
  <si>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</si>
  <si>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</si>
  <si>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</si>
  <si>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</si>
  <si>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</si>
  <si>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</si>
  <si>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</si>
  <si>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</si>
  <si>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</si>
  <si>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</si>
  <si>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</si>
  <si>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</si>
  <si>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</si>
  <si>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</si>
  <si>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</si>
  <si>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</si>
  <si>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</si>
  <si>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</si>
  <si>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</si>
  <si>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</si>
  <si>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</si>
  <si>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</si>
  <si>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</si>
  <si>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</si>
  <si>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</si>
  <si>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</si>
  <si>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</si>
  <si>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</si>
  <si>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</si>
  <si>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</si>
  <si>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</si>
  <si>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</si>
  <si>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</si>
  <si>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</si>
  <si>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</si>
  <si>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</si>
  <si>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</si>
  <si>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</si>
  <si>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</si>
  <si>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</si>
  <si>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</si>
  <si>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</si>
  <si>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</si>
  <si>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</si>
  <si>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</si>
  <si>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</si>
  <si>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</si>
  <si>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</si>
  <si>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</si>
  <si>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</si>
  <si>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</si>
  <si>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</si>
  <si>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</si>
  <si>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</si>
  <si>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</si>
  <si>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</si>
  <si>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</si>
  <si>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</si>
  <si>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</si>
  <si>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</si>
  <si>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</si>
  <si>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</si>
  <si>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</si>
  <si>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</si>
  <si>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</si>
  <si>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</si>
  <si>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</si>
  <si>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</si>
  <si>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</si>
  <si>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</si>
  <si>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</si>
  <si>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</si>
  <si>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</si>
  <si>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</si>
  <si>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</si>
  <si>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</si>
  <si>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</si>
  <si>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</si>
  <si>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</si>
  <si>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</si>
  <si>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</si>
  <si>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</si>
  <si>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</si>
  <si>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</si>
  <si>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</si>
  <si>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</si>
  <si>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</si>
  <si>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</si>
  <si>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</si>
  <si>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</si>
  <si>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</si>
  <si>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</si>
  <si>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</si>
  <si>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</si>
  <si>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</si>
  <si>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</si>
  <si>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</si>
  <si>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</si>
  <si>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</si>
  <si>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</si>
  <si>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</si>
  <si>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</si>
  <si>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</si>
  <si>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</si>
  <si>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</si>
  <si>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</si>
  <si>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</si>
  <si>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</si>
  <si>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</si>
  <si>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</si>
  <si>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</si>
  <si>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</si>
  <si>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</si>
  <si>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</si>
  <si>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</si>
  <si>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</si>
  <si>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</si>
  <si>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</si>
  <si>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</si>
  <si>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</si>
  <si>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</si>
  <si>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</si>
  <si>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</si>
  <si>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</si>
  <si>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</si>
  <si>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</si>
  <si>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</si>
  <si>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</si>
  <si>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</si>
  <si>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</si>
  <si>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</si>
  <si>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</si>
  <si>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</si>
  <si>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</si>
  <si>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</si>
  <si>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</si>
  <si>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</si>
  <si>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</si>
  <si>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</si>
  <si>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</si>
  <si>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</si>
  <si>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</si>
  <si>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</si>
  <si>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</si>
  <si>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</si>
  <si>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</si>
  <si>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</si>
  <si>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</si>
  <si>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</si>
  <si>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</si>
  <si>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</si>
  <si>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</si>
  <si>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</si>
  <si>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</si>
  <si>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</si>
  <si>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</si>
  <si>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</si>
  <si>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</si>
  <si>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</si>
  <si>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</si>
  <si>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</si>
  <si>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</si>
  <si>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</si>
  <si>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</si>
  <si>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</si>
  <si>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</si>
  <si>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</si>
  <si>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</si>
  <si>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</si>
  <si>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</si>
  <si>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</si>
  <si>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</si>
  <si>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</si>
  <si>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</si>
  <si>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</si>
  <si>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</si>
  <si>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</si>
  <si>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</si>
  <si>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</si>
  <si>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</si>
  <si>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</si>
  <si>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</si>
  <si>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</si>
  <si>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</si>
  <si>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</si>
  <si>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</si>
  <si>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</si>
  <si>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</si>
  <si>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</si>
  <si>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</si>
  <si>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</si>
  <si>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</si>
  <si>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</si>
  <si>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</si>
  <si>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</si>
  <si>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</si>
  <si>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</si>
  <si>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</si>
  <si>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</si>
  <si>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</si>
  <si>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</si>
  <si>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</si>
  <si>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</si>
  <si>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</si>
  <si>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</si>
  <si>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</si>
  <si>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</si>
  <si>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</si>
  <si>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</si>
  <si>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</si>
  <si>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</si>
  <si>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</si>
  <si>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</si>
  <si>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</si>
  <si>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</si>
  <si>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</si>
  <si>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</si>
  <si>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</si>
  <si>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</si>
  <si>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</si>
  <si>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</si>
  <si>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</si>
  <si>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</si>
  <si>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</si>
  <si>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</si>
  <si>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</si>
  <si>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</si>
  <si>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</si>
  <si>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</si>
  <si>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</si>
  <si>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</si>
  <si>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</si>
  <si>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</si>
  <si>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</si>
  <si>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</si>
  <si>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</si>
  <si>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</si>
  <si>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</si>
  <si>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</si>
  <si>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</si>
  <si>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</si>
  <si>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</si>
  <si>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</si>
  <si>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</si>
  <si>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</si>
  <si>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</si>
  <si>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</si>
  <si>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</si>
  <si>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</si>
  <si>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</si>
  <si>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</si>
  <si>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</si>
  <si>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</si>
  <si>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</si>
  <si>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</si>
  <si>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</si>
  <si>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</si>
  <si>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</si>
  <si>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</si>
  <si>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</si>
  <si>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</si>
  <si>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</si>
  <si>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</si>
  <si>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</si>
  <si>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</si>
  <si>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</si>
  <si>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</si>
  <si>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</si>
  <si>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</si>
  <si>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</si>
  <si>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</si>
  <si>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</si>
  <si>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</si>
  <si>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</si>
  <si>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</si>
  <si>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</si>
  <si>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</si>
  <si>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</si>
  <si>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</si>
  <si>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</si>
  <si>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</si>
  <si>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</si>
  <si>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</si>
  <si>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</si>
  <si>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</si>
  <si>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</si>
  <si>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</si>
  <si>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</si>
  <si>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</si>
  <si>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</si>
  <si>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</si>
  <si>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</si>
  <si>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</si>
  <si>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</si>
  <si>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</si>
  <si>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</si>
  <si>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</si>
  <si>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</si>
  <si>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</si>
  <si>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</si>
  <si>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</si>
  <si>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</si>
  <si>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</si>
  <si>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</si>
  <si>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</si>
  <si>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</si>
  <si>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</si>
  <si>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</si>
  <si>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</si>
  <si>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</si>
  <si>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</si>
  <si>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</si>
  <si>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</si>
  <si>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</si>
  <si>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</si>
  <si>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</si>
  <si>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</si>
  <si>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</si>
  <si>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</si>
  <si>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</si>
  <si>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</si>
  <si>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</si>
  <si>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</si>
  <si>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</si>
  <si>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</si>
  <si>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</si>
  <si>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</si>
  <si>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</si>
  <si>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</si>
  <si>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</si>
  <si>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</si>
  <si>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</si>
  <si>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</si>
  <si>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</si>
  <si>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</si>
  <si>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</si>
  <si>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</si>
  <si>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</si>
  <si>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</si>
  <si>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</si>
  <si>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</si>
  <si>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</si>
  <si>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</si>
  <si>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</si>
  <si>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</si>
  <si>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</si>
  <si>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</si>
  <si>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</si>
  <si>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</si>
  <si>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</si>
  <si>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</si>
  <si>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</si>
  <si>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</si>
  <si>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</si>
  <si>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</si>
  <si>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</si>
  <si>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</si>
  <si>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</si>
  <si>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</si>
  <si>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</si>
  <si>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</si>
  <si>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</si>
  <si>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</si>
  <si>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</si>
  <si>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</si>
  <si>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</si>
  <si>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</si>
  <si>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</si>
  <si>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</si>
  <si>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</si>
  <si>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</si>
  <si>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</si>
  <si>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</si>
  <si>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</si>
  <si>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</si>
  <si>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</si>
  <si>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</si>
  <si>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</si>
  <si>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</si>
  <si>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</si>
  <si>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</si>
  <si>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</si>
  <si>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</si>
  <si>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</si>
  <si>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</si>
  <si>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</si>
  <si>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</si>
  <si>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</si>
  <si>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</si>
  <si>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</si>
  <si>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</si>
  <si>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</si>
  <si>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</si>
  <si>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</si>
  <si>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</si>
  <si>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</si>
  <si>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</si>
  <si>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</si>
  <si>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</si>
  <si>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</si>
  <si>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</si>
  <si>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</si>
  <si>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</si>
  <si>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</si>
  <si>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</si>
  <si>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</si>
  <si>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</si>
  <si>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</si>
  <si>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</si>
  <si>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</si>
  <si>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</si>
  <si>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</si>
  <si>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</si>
  <si>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</si>
  <si>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</si>
  <si>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</si>
  <si>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</si>
  <si>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</si>
  <si>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</si>
  <si>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</si>
  <si>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</si>
  <si>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</si>
  <si>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</si>
  <si>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</si>
  <si>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</si>
  <si>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</si>
  <si>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</si>
  <si>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</si>
  <si>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</si>
  <si>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</si>
  <si>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</si>
  <si>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</si>
  <si>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</si>
  <si>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</si>
  <si>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</si>
  <si>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</si>
  <si>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</si>
  <si>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</si>
  <si>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</si>
  <si>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</si>
  <si>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</si>
  <si>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</si>
  <si>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</si>
  <si>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</si>
  <si>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</si>
  <si>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</si>
  <si>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</si>
  <si>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</si>
  <si>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</si>
  <si>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</si>
  <si>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</si>
  <si>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</si>
  <si>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</si>
  <si>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</si>
  <si>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</si>
  <si>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</si>
  <si>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</si>
  <si>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</si>
  <si>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</si>
  <si>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</si>
  <si>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</si>
  <si>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</si>
  <si>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</si>
  <si>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</si>
  <si>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</si>
  <si>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</si>
  <si>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</si>
  <si>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</si>
  <si>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</si>
  <si>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</si>
  <si>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</si>
  <si>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</si>
  <si>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</si>
  <si>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</si>
  <si>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</si>
  <si>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</si>
  <si>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</si>
  <si>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</si>
  <si>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</si>
  <si>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</si>
  <si>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</si>
  <si>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</si>
  <si>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</si>
  <si>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</si>
  <si>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</si>
  <si>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</si>
  <si>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</si>
  <si>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</si>
  <si>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</si>
  <si>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</si>
  <si>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</si>
  <si>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</si>
  <si>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</si>
  <si>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</si>
  <si>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</si>
  <si>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</si>
  <si>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</si>
  <si>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</si>
  <si>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</si>
  <si>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</si>
  <si>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</si>
  <si>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</si>
  <si>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</si>
  <si>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</si>
  <si>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</si>
  <si>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</si>
  <si>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</si>
  <si>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</si>
  <si>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</si>
  <si>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</si>
  <si>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</si>
  <si>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</si>
  <si>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</si>
  <si>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</si>
  <si>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</si>
  <si>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</si>
  <si>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</si>
  <si>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</si>
  <si>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</si>
  <si>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</si>
  <si>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</si>
  <si>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</si>
  <si>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</si>
  <si>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</si>
  <si>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</si>
  <si>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</si>
  <si>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</si>
  <si>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</si>
  <si>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</si>
  <si>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</si>
  <si>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</si>
  <si>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</si>
  <si>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</si>
  <si>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</si>
  <si>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</si>
  <si>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</si>
  <si>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</si>
  <si>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</si>
  <si>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</si>
  <si>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</si>
  <si>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</si>
  <si>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</si>
  <si>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</si>
  <si>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</si>
  <si>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</si>
  <si>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</si>
  <si>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</si>
  <si>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</si>
  <si>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</si>
  <si>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</si>
  <si>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</si>
  <si>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</si>
  <si>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</si>
  <si>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</si>
  <si>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</si>
  <si>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</si>
  <si>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</si>
  <si>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</si>
  <si>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</si>
  <si>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</si>
  <si>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</si>
  <si>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</si>
  <si>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</si>
  <si>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</si>
  <si>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</si>
  <si>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</si>
  <si>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</si>
  <si>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</si>
  <si>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</si>
  <si>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</si>
  <si>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</si>
  <si>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</si>
  <si>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</si>
  <si>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</si>
  <si>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</si>
  <si>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</si>
  <si>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</si>
  <si>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</si>
  <si>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</si>
  <si>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</si>
  <si>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</si>
  <si>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</si>
  <si>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</si>
  <si>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</si>
  <si>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</si>
  <si>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</si>
  <si>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</si>
  <si>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</si>
  <si>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</si>
  <si>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</si>
  <si>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</si>
  <si>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</si>
  <si>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</si>
  <si>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</si>
  <si>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</si>
  <si>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</si>
  <si>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</si>
  <si>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</si>
  <si>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</si>
  <si>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</si>
  <si>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</si>
  <si>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</si>
  <si>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</si>
  <si>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</si>
  <si>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</si>
  <si>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</si>
  <si>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</si>
  <si>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</si>
  <si>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</si>
  <si>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</si>
  <si>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</si>
  <si>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</si>
  <si>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</si>
  <si>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</si>
  <si>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</si>
  <si>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</si>
  <si>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</si>
  <si>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</si>
  <si>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</si>
  <si>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</si>
  <si>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</si>
  <si>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</si>
  <si>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</si>
  <si>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</si>
  <si>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</si>
  <si>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</si>
  <si>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</si>
  <si>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</si>
  <si>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</si>
  <si>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</si>
  <si>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</si>
  <si>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</si>
  <si>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</si>
  <si>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</si>
  <si>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</si>
  <si>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</si>
  <si>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</si>
  <si>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</si>
  <si>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</si>
  <si>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</si>
  <si>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</si>
  <si>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</si>
  <si>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</si>
  <si>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</si>
  <si>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</si>
  <si>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</si>
  <si>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</si>
  <si>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</si>
  <si>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</si>
  <si>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</si>
  <si>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</si>
  <si>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</si>
  <si>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</si>
  <si>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</si>
  <si>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</si>
  <si>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</si>
  <si>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</si>
  <si>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</si>
  <si>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</si>
  <si>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</si>
  <si>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</si>
  <si>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</si>
  <si>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</si>
  <si>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</si>
  <si>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</si>
  <si>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</si>
  <si>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</si>
  <si>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</si>
  <si>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</si>
  <si>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</si>
  <si>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</si>
  <si>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</si>
  <si>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</si>
  <si>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</si>
  <si>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</si>
  <si>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</si>
  <si>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</si>
  <si>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</si>
  <si>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</si>
  <si>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</si>
  <si>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</si>
  <si>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</si>
  <si>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</si>
  <si>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</si>
  <si>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</si>
  <si>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</si>
  <si>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</si>
  <si>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</si>
  <si>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</si>
  <si>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</si>
  <si>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</si>
  <si>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</si>
  <si>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</si>
  <si>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</si>
  <si>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</si>
  <si>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</si>
  <si>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</si>
  <si>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</si>
  <si>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</si>
  <si>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</si>
  <si>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</si>
  <si>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</si>
  <si>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</si>
  <si>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</si>
  <si>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</si>
  <si>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</si>
  <si>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</si>
  <si>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</si>
  <si>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</si>
  <si>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</si>
  <si>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</si>
  <si>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</si>
  <si>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</si>
  <si>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</si>
  <si>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</si>
  <si>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</si>
  <si>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</si>
  <si>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</si>
  <si>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</si>
  <si>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</si>
  <si>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</si>
  <si>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</si>
  <si>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</si>
  <si>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</si>
  <si>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</si>
  <si>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</si>
  <si>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</si>
  <si>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</si>
  <si>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</si>
  <si>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</si>
  <si>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</si>
  <si>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</si>
  <si>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</si>
  <si>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</si>
  <si>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</si>
  <si>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</si>
  <si>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</si>
  <si>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</si>
  <si>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</si>
  <si>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</si>
  <si>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</si>
  <si>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</si>
  <si>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</si>
  <si>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</si>
  <si>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</si>
  <si>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</si>
  <si>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</si>
  <si>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</si>
  <si>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</si>
  <si>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</si>
  <si>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</si>
  <si>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</si>
  <si>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</si>
  <si>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</si>
  <si>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</si>
  <si>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</si>
  <si>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</si>
  <si>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</si>
  <si>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</si>
  <si>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</si>
  <si>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</si>
  <si>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</si>
  <si>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</si>
  <si>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</si>
  <si>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</si>
  <si>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</si>
  <si>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</si>
  <si>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</si>
  <si>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</si>
  <si>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</si>
  <si>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</si>
  <si>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</si>
  <si>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</si>
  <si>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</si>
  <si>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</si>
  <si>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</si>
  <si>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</si>
  <si>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</si>
  <si>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</si>
  <si>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</si>
  <si>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</si>
  <si>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</si>
  <si>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</si>
  <si>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</si>
  <si>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</si>
  <si>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</si>
  <si>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</si>
  <si>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</si>
  <si>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</si>
  <si>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</si>
  <si>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</si>
  <si>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</si>
  <si>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</si>
  <si>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</si>
  <si>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</si>
  <si>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</si>
  <si>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</si>
  <si>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</si>
  <si>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</si>
  <si>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</si>
  <si>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</si>
  <si>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</si>
  <si>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</si>
  <si>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</si>
  <si>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</si>
  <si>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</si>
  <si>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</si>
  <si>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</si>
  <si>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</si>
  <si>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</si>
  <si>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</si>
  <si>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</si>
  <si>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</si>
  <si>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</si>
  <si>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</si>
  <si>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</si>
  <si>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</si>
  <si>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</si>
  <si>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</si>
  <si>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</si>
  <si>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</si>
  <si>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</si>
  <si>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</si>
  <si>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</si>
  <si>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</si>
  <si>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</si>
  <si>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</si>
  <si>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</si>
  <si>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</si>
  <si>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</si>
  <si>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</si>
  <si>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</si>
  <si>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</si>
  <si>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</si>
  <si>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</si>
  <si>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</si>
  <si>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</si>
  <si>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</si>
  <si>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</si>
  <si>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</si>
  <si>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</si>
  <si>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</si>
  <si>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</si>
  <si>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</si>
  <si>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</si>
  <si>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</si>
  <si>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</si>
  <si>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</si>
  <si>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</si>
  <si>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</si>
  <si>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</si>
  <si>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</si>
  <si>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</si>
  <si>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</si>
  <si>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</si>
  <si>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</si>
  <si>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</si>
  <si>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</si>
  <si>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</si>
  <si>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</si>
  <si>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</si>
  <si>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</si>
  <si>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</si>
  <si>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</si>
  <si>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</si>
  <si>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</si>
  <si>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</si>
  <si>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</si>
  <si>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</si>
  <si>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</si>
  <si>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</si>
  <si>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</si>
  <si>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</si>
  <si>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</si>
  <si>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</si>
  <si>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</si>
  <si>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</si>
  <si>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</si>
  <si>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</si>
  <si>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</si>
  <si>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</si>
  <si>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</si>
  <si>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</si>
  <si>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</si>
  <si>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</si>
  <si>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</si>
  <si>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</si>
  <si>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</si>
  <si>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</si>
  <si>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</si>
  <si>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</si>
  <si>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</si>
  <si>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</si>
  <si>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</si>
  <si>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</si>
  <si>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</si>
  <si>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</si>
  <si>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</si>
  <si>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</si>
  <si>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</si>
  <si>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</si>
  <si>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</si>
  <si>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</si>
  <si>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</si>
  <si>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</si>
  <si>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</si>
  <si>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</si>
  <si>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</si>
  <si>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</si>
  <si>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</si>
  <si>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</si>
  <si>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</si>
  <si>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</si>
  <si>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</si>
  <si>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</si>
  <si>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</si>
  <si>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</si>
  <si>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</si>
  <si>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</si>
  <si>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</si>
  <si>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</si>
  <si>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</si>
  <si>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</si>
  <si>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</si>
  <si>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</si>
  <si>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</si>
  <si>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</si>
  <si>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</si>
  <si>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</si>
  <si>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</si>
  <si>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</si>
  <si>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</si>
  <si>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</si>
  <si>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</si>
  <si>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</si>
  <si>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</si>
  <si>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</si>
  <si>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</si>
  <si>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</si>
  <si>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</si>
  <si>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</si>
  <si>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</si>
  <si>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</si>
  <si>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</si>
  <si>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</si>
  <si>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</si>
  <si>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</si>
  <si>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</si>
  <si>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</si>
  <si>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</si>
  <si>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</si>
  <si>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</si>
  <si>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</si>
  <si>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</si>
  <si>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</si>
  <si>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</si>
  <si>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</si>
  <si>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</si>
  <si>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</si>
  <si>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</si>
  <si>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</si>
  <si>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</si>
  <si>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</si>
  <si>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</si>
  <si>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</si>
  <si>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</si>
  <si>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</si>
  <si>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</si>
  <si>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</si>
  <si>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</si>
  <si>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</si>
  <si>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</si>
  <si>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</si>
  <si>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</si>
  <si>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</si>
  <si>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</si>
  <si>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</si>
  <si>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</si>
  <si>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</si>
  <si>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</si>
  <si>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</si>
  <si>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</si>
  <si>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</si>
  <si>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</si>
  <si>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</si>
  <si>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</si>
  <si>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</si>
  <si>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</si>
  <si>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</si>
  <si>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</si>
  <si>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</si>
  <si>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</si>
  <si>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</si>
  <si>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</si>
  <si>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</si>
  <si>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</si>
  <si>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</si>
  <si>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</si>
  <si>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</si>
  <si>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</si>
  <si>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</si>
  <si>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</si>
  <si>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</si>
  <si>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</si>
  <si>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</si>
  <si>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</si>
  <si>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</si>
  <si>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</si>
  <si>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</si>
  <si>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</si>
  <si>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</si>
  <si>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</si>
  <si>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</si>
  <si>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</si>
  <si>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</si>
  <si>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</si>
  <si>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</si>
  <si>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</si>
  <si>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</si>
  <si>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</si>
  <si>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</si>
  <si>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</si>
  <si>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</si>
  <si>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</si>
  <si>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</si>
  <si>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</si>
  <si>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</si>
  <si>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</si>
  <si>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</si>
  <si>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</si>
  <si>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</si>
  <si>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</si>
  <si>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</si>
  <si>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</si>
  <si>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</si>
  <si>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</si>
  <si>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</si>
  <si>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</si>
  <si>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</si>
  <si>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</si>
  <si>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</si>
  <si>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</si>
  <si>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</si>
  <si>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</si>
  <si>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</si>
  <si>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</si>
  <si>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</si>
  <si>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</si>
  <si>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</si>
  <si>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</si>
  <si>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</si>
  <si>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</si>
  <si>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</si>
  <si>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</si>
  <si>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</si>
  <si>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</si>
  <si>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</si>
  <si>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</si>
  <si>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</si>
  <si>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</si>
  <si>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</si>
  <si>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</si>
  <si>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</si>
  <si>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</si>
  <si>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</si>
  <si>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</si>
  <si>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</si>
  <si>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</si>
  <si>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</si>
  <si>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</si>
  <si>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</si>
  <si>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</si>
  <si>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</si>
  <si>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</si>
  <si>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</si>
  <si>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</si>
  <si>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</si>
  <si>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</si>
  <si>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</si>
  <si>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</si>
  <si>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</si>
  <si>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</si>
  <si>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</si>
  <si>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</si>
  <si>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</si>
  <si>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</si>
  <si>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</si>
  <si>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</si>
  <si>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</si>
  <si>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</si>
  <si>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</si>
  <si>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</si>
  <si>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</si>
  <si>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</si>
  <si>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</si>
  <si>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</si>
  <si>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</si>
  <si>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</si>
  <si>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</si>
  <si>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</si>
  <si>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</si>
  <si>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</si>
  <si>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</si>
  <si>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</si>
  <si>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</si>
  <si>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</si>
  <si>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</si>
  <si>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</si>
  <si>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</si>
  <si>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</si>
  <si>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</si>
  <si>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</si>
  <si>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</si>
  <si>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</si>
  <si>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</si>
  <si>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</si>
  <si>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</si>
  <si>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</si>
  <si>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</si>
  <si>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</si>
  <si>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</si>
  <si>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</si>
  <si>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</si>
  <si>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</si>
  <si>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</si>
  <si>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</si>
  <si>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</si>
  <si>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</si>
  <si>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</si>
  <si>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</si>
  <si>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</si>
  <si>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</si>
  <si>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</si>
  <si>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</si>
  <si>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</si>
  <si>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</si>
  <si>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</si>
  <si>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</si>
  <si>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</si>
  <si>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</si>
  <si>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</si>
  <si>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</si>
  <si>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</si>
  <si>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</si>
  <si>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</si>
  <si>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</si>
  <si>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</si>
  <si>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</si>
  <si>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</si>
  <si>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</si>
  <si>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</si>
  <si>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</si>
  <si>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</si>
  <si>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</si>
  <si>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</si>
  <si>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</si>
  <si>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</si>
  <si>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</si>
  <si>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</si>
  <si>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</si>
  <si>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</si>
  <si>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</si>
  <si>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</si>
  <si>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</si>
  <si>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</si>
  <si>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</si>
  <si>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</si>
  <si>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</si>
  <si>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</si>
  <si>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</si>
  <si>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</si>
  <si>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</si>
  <si>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</si>
  <si>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</si>
  <si>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</si>
  <si>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</si>
  <si>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</si>
  <si>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</si>
  <si>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</si>
  <si>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</si>
  <si>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</si>
  <si>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</si>
  <si>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</si>
  <si>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</si>
  <si>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</si>
  <si>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</si>
  <si>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</si>
  <si>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</si>
  <si>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</si>
  <si>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</si>
  <si>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</si>
  <si>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</si>
  <si>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</si>
  <si>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</si>
  <si>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</si>
  <si>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</si>
  <si>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</si>
  <si>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</si>
  <si>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</si>
  <si>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</si>
  <si>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</si>
  <si>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</si>
  <si>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</si>
  <si>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</si>
  <si>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</si>
  <si>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</si>
  <si>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</si>
  <si>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</si>
  <si>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</si>
  <si>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</si>
  <si>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</si>
  <si>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</si>
  <si>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</si>
  <si>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</si>
  <si>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</si>
  <si>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</si>
  <si>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</si>
  <si>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</si>
  <si>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</si>
  <si>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</si>
  <si>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</si>
  <si>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</si>
  <si>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</si>
  <si>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</si>
  <si>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</si>
  <si>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</si>
  <si>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</si>
  <si>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</si>
  <si>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</si>
  <si>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</si>
  <si>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</si>
  <si>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</si>
  <si>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</si>
  <si>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</si>
  <si>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</si>
  <si>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</si>
  <si>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</si>
  <si>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</si>
  <si>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</si>
  <si>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</si>
  <si>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</si>
  <si>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</si>
  <si>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</si>
  <si>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</si>
  <si>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</si>
  <si>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</si>
  <si>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</si>
  <si>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</si>
  <si>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</si>
  <si>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</si>
  <si>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</si>
  <si>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</si>
  <si>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</si>
  <si>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</si>
  <si>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</si>
  <si>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</si>
  <si>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</si>
  <si>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</si>
  <si>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</si>
  <si>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</si>
  <si>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</si>
  <si>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</si>
  <si>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</si>
  <si>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</si>
  <si>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</si>
  <si>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</si>
  <si>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</si>
  <si>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</si>
  <si>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</si>
  <si>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</si>
  <si>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</si>
  <si>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</si>
  <si>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</si>
  <si>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</si>
  <si>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</si>
  <si>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</si>
  <si>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</si>
  <si>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</si>
  <si>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</si>
  <si>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</si>
  <si>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</si>
  <si>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</si>
  <si>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</si>
  <si>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</si>
  <si>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</si>
  <si>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</si>
  <si>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</si>
  <si>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</si>
  <si>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</si>
  <si>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</si>
  <si>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</si>
  <si>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</si>
  <si>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</si>
  <si>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</si>
  <si>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</si>
  <si>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</si>
  <si>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</si>
  <si>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</si>
  <si>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</si>
  <si>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</si>
  <si>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</si>
  <si>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</si>
  <si>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</si>
  <si>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</si>
  <si>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</si>
  <si>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</si>
  <si>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</si>
  <si>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</si>
  <si>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</si>
  <si>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</si>
  <si>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</si>
  <si>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</si>
  <si>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</si>
  <si>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</si>
  <si>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</si>
  <si>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</si>
  <si>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</si>
  <si>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</si>
  <si>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</si>
  <si>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</si>
  <si>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</si>
  <si>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</si>
  <si>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</si>
  <si>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</si>
  <si>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</si>
  <si>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</si>
  <si>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</si>
  <si>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</si>
  <si>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</si>
  <si>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</si>
  <si>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</si>
  <si>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</si>
  <si>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</si>
  <si>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</si>
  <si>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</si>
  <si>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</si>
  <si>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</si>
  <si>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</si>
  <si>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</si>
  <si>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</si>
  <si>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</si>
  <si>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</si>
  <si>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</si>
  <si>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</si>
  <si>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</si>
  <si>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</si>
  <si>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</si>
  <si>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</si>
  <si>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</si>
  <si>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</si>
  <si>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</si>
  <si>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</si>
  <si>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</si>
  <si>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</si>
  <si>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</si>
  <si>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</si>
  <si>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</si>
  <si>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</si>
  <si>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</si>
  <si>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</si>
  <si>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</si>
  <si>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</si>
  <si>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</si>
  <si>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</si>
  <si>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</si>
  <si>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</si>
  <si>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</si>
  <si>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</si>
  <si>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</si>
  <si>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</si>
  <si>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</si>
  <si>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</si>
  <si>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</si>
  <si>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</si>
  <si>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</si>
  <si>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</si>
  <si>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</si>
  <si>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</si>
  <si>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</si>
  <si>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</si>
  <si>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</si>
  <si>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</si>
  <si>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</si>
  <si>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</si>
  <si>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</si>
  <si>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</si>
  <si>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</si>
  <si>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</si>
  <si>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</si>
  <si>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</si>
  <si>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</si>
  <si>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</si>
  <si>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</si>
  <si>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</si>
  <si>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</si>
  <si>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</si>
  <si>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</si>
  <si>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</si>
  <si>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</si>
  <si>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</si>
  <si>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</si>
  <si>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</si>
  <si>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</si>
  <si>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</si>
  <si>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</si>
  <si>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</si>
  <si>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</si>
  <si>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</si>
  <si>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</si>
  <si>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</si>
  <si>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</si>
  <si>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</si>
  <si>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</si>
  <si>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</si>
  <si>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</si>
  <si>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</si>
  <si>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</si>
  <si>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</si>
  <si>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</si>
  <si>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</si>
  <si>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</si>
  <si>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</si>
  <si>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</si>
  <si>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</si>
  <si>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</si>
  <si>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</si>
  <si>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</si>
  <si>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</si>
  <si>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</si>
  <si>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</si>
  <si>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</si>
  <si>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</si>
  <si>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</si>
  <si>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</si>
  <si>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</si>
  <si>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</si>
  <si>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</si>
  <si>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</si>
  <si>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</si>
  <si>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</si>
  <si>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</si>
  <si>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</si>
  <si>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</si>
  <si>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</si>
  <si>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</si>
  <si>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</si>
  <si>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</si>
  <si>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</si>
  <si>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</si>
  <si>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</si>
  <si>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</si>
  <si>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</si>
  <si>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</si>
  <si>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</si>
  <si>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</si>
  <si>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</si>
  <si>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</si>
  <si>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</si>
  <si>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</si>
  <si>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</si>
  <si>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</si>
  <si>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</si>
  <si>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</si>
  <si>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</si>
  <si>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</si>
  <si>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</si>
  <si>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</si>
  <si>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</si>
  <si>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</si>
  <si>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</si>
  <si>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</si>
  <si>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</si>
  <si>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</si>
  <si>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</si>
  <si>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</si>
  <si>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</si>
  <si>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</si>
  <si>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</si>
  <si>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</si>
  <si>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</si>
  <si>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</si>
  <si>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</si>
  <si>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</si>
  <si>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</si>
  <si>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</si>
  <si>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</si>
  <si>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</si>
  <si>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</si>
  <si>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</si>
  <si>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</si>
  <si>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</si>
  <si>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</si>
  <si>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</si>
  <si>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</si>
  <si>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</si>
  <si>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</si>
  <si>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</si>
  <si>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</si>
  <si>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</si>
  <si>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</si>
  <si>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</si>
  <si>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</si>
  <si>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</si>
  <si>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</si>
  <si>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</si>
  <si>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</si>
  <si>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</si>
  <si>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</si>
  <si>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</si>
  <si>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</si>
  <si>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</si>
  <si>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</si>
  <si>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</si>
  <si>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</si>
  <si>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</si>
  <si>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</si>
  <si>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</si>
  <si>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</si>
  <si>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</si>
  <si>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</si>
  <si>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</si>
  <si>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</si>
  <si>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</si>
  <si>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</si>
  <si>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</si>
  <si>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</si>
  <si>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</si>
  <si>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</si>
  <si>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</si>
  <si>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</si>
  <si>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</si>
  <si>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</si>
  <si>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</si>
  <si>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</si>
  <si>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</si>
  <si>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</si>
  <si>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</si>
  <si>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</si>
  <si>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</si>
  <si>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</si>
  <si>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</si>
  <si>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</si>
  <si>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</si>
  <si>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</si>
  <si>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</si>
  <si>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</si>
  <si>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</si>
  <si>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</si>
  <si>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</si>
  <si>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</si>
  <si>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</si>
  <si>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</si>
  <si>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</si>
  <si>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</si>
  <si>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</si>
  <si>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</si>
  <si>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</si>
  <si>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</si>
  <si>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</si>
  <si>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</si>
  <si>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</si>
  <si>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</si>
  <si>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</si>
  <si>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</si>
  <si>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</si>
  <si>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</si>
  <si>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</si>
  <si>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</si>
  <si>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</si>
  <si>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</si>
  <si>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</si>
  <si>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</si>
  <si>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</si>
  <si>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</si>
  <si>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</si>
  <si>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</si>
  <si>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</si>
  <si>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</si>
  <si>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</si>
  <si>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</si>
  <si>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</si>
  <si>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</si>
  <si>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</si>
  <si>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</si>
  <si>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</si>
  <si>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</si>
  <si>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</si>
  <si>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</si>
  <si>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</si>
  <si>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</si>
  <si>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</si>
  <si>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</si>
  <si>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</si>
  <si>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</si>
  <si>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</si>
  <si>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</si>
  <si>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</si>
  <si>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</si>
  <si>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</si>
  <si>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</si>
  <si>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</si>
  <si>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</si>
  <si>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</si>
  <si>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</si>
  <si>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</si>
  <si>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</si>
  <si>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</si>
  <si>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</si>
  <si>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</si>
  <si>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</si>
  <si>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</si>
  <si>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</si>
  <si>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</si>
  <si>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</si>
  <si>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</si>
  <si>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</si>
  <si>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</si>
  <si>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</si>
  <si>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</si>
  <si>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</si>
  <si>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</si>
  <si>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</si>
  <si>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</si>
  <si>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</si>
  <si>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</si>
  <si>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</si>
  <si>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</si>
  <si>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</si>
  <si>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</si>
  <si>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</si>
  <si>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</si>
  <si>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</si>
  <si>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</si>
  <si>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</si>
  <si>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</si>
  <si>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</si>
  <si>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</si>
  <si>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</si>
  <si>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</si>
  <si>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</si>
  <si>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</si>
  <si>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</si>
  <si>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</si>
  <si>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</si>
  <si>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</si>
  <si>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</si>
  <si>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</si>
  <si>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</si>
  <si>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</si>
  <si>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</si>
  <si>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</si>
  <si>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</si>
  <si>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</si>
  <si>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</si>
  <si>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</si>
  <si>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</si>
  <si>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</si>
  <si>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</si>
  <si>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</si>
  <si>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</si>
  <si>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</si>
  <si>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</si>
  <si>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</si>
  <si>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</si>
  <si>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</si>
  <si>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</si>
  <si>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</si>
  <si>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</si>
  <si>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</si>
  <si>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</si>
  <si>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</si>
  <si>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</si>
  <si>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</si>
  <si>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</si>
  <si>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</si>
  <si>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</si>
  <si>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</si>
  <si>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</si>
  <si>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</si>
  <si>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</si>
  <si>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</si>
  <si>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</si>
  <si>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</si>
  <si>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</si>
  <si>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</si>
  <si>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</si>
  <si>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</si>
  <si>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</si>
  <si>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</si>
  <si>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</si>
  <si>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</si>
  <si>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</si>
  <si>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</si>
  <si>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</si>
  <si>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</si>
  <si>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</si>
  <si>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</si>
  <si>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</si>
  <si>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</si>
  <si>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</si>
  <si>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</si>
  <si>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</si>
  <si>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</si>
  <si>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</si>
  <si>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</si>
  <si>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</si>
  <si>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</si>
  <si>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</si>
  <si>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</si>
  <si>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</si>
  <si>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</si>
  <si>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</si>
  <si>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</si>
  <si>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</si>
  <si>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</si>
  <si>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</si>
  <si>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</si>
  <si>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</si>
  <si>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</si>
  <si>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</si>
  <si>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</si>
  <si>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</si>
  <si>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</si>
  <si>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</si>
  <si>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</si>
  <si>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</si>
  <si>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</si>
  <si>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</si>
  <si>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</si>
  <si>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</si>
  <si>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</si>
  <si>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</si>
  <si>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</si>
  <si>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</si>
  <si>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</si>
  <si>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</si>
  <si>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</si>
  <si>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</si>
  <si>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</si>
  <si>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</si>
  <si>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</si>
  <si>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</si>
  <si>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</si>
  <si>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</si>
  <si>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</si>
  <si>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</si>
  <si>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</si>
  <si>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</si>
  <si>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</si>
  <si>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</si>
  <si>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</si>
  <si>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</si>
  <si>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</si>
  <si>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</si>
  <si>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</si>
  <si>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</si>
  <si>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</si>
  <si>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</si>
  <si>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</si>
  <si>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</si>
  <si>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</si>
  <si>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</si>
  <si>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</si>
  <si>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</si>
  <si>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</si>
  <si>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</si>
  <si>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</si>
  <si>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</si>
  <si>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</si>
  <si>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</si>
  <si>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</si>
  <si>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</si>
  <si>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</si>
  <si>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</si>
  <si>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</si>
  <si>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</si>
  <si>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</si>
  <si>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</si>
  <si>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</si>
  <si>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</si>
  <si>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</si>
  <si>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</si>
  <si>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</si>
  <si>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</si>
  <si>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</si>
  <si>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</si>
  <si>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</si>
  <si>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</si>
  <si>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</si>
  <si>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</si>
  <si>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</si>
  <si>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</si>
  <si>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</si>
  <si>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</si>
  <si>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</si>
  <si>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</si>
  <si>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</si>
  <si>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</si>
  <si>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</si>
  <si>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</si>
  <si>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</si>
  <si>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</si>
  <si>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</si>
  <si>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</si>
  <si>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</si>
  <si>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</si>
  <si>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</si>
  <si>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</si>
  <si>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</si>
  <si>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</si>
  <si>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</si>
  <si>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</si>
  <si>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</si>
  <si>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</si>
  <si>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</si>
  <si>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</si>
  <si>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</si>
  <si>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</si>
  <si>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</si>
  <si>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</si>
  <si>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</si>
  <si>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</si>
  <si>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</si>
  <si>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</si>
  <si>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</si>
  <si>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</si>
  <si>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</si>
  <si>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</si>
  <si>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</si>
  <si>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</si>
  <si>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</si>
  <si>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</si>
  <si>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</si>
  <si>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</si>
  <si>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</si>
  <si>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</si>
  <si>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</si>
  <si>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</si>
  <si>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</si>
  <si>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</si>
  <si>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</si>
  <si>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</si>
  <si>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</si>
  <si>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</si>
  <si>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</si>
  <si>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</si>
  <si>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</si>
  <si>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</si>
  <si>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</si>
  <si>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</si>
  <si>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</si>
  <si>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</si>
  <si>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</si>
  <si>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</si>
  <si>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</si>
  <si>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</si>
  <si>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</si>
  <si>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</si>
  <si>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</si>
  <si>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</si>
  <si>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</si>
  <si>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</si>
  <si>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</si>
  <si>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</si>
  <si>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</si>
  <si>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</si>
  <si>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</si>
  <si>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</si>
  <si>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</si>
  <si>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</si>
  <si>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</si>
  <si>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</si>
  <si>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</si>
  <si>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</si>
  <si>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</si>
  <si>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</si>
  <si>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</si>
  <si>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</si>
  <si>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</si>
  <si>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</si>
  <si>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</si>
  <si>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</si>
  <si>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</si>
  <si>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</si>
  <si>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</si>
  <si>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</si>
  <si>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</si>
  <si>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</si>
  <si>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</si>
  <si>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</si>
  <si>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</si>
  <si>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</si>
  <si>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</si>
  <si>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</si>
  <si>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</si>
  <si>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</si>
  <si>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</si>
  <si>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</si>
  <si>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</si>
  <si>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</si>
  <si>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</si>
  <si>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</si>
  <si>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</si>
  <si>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</si>
  <si>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</si>
  <si>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</si>
  <si>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</si>
  <si>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</si>
  <si>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</si>
  <si>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</si>
  <si>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</si>
  <si>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</si>
  <si>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</si>
  <si>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</si>
  <si>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</si>
  <si>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</si>
  <si>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</si>
  <si>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</si>
  <si>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</si>
  <si>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</si>
  <si>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</si>
  <si>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</si>
  <si>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</si>
  <si>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</si>
  <si>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</si>
  <si>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</si>
  <si>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</si>
  <si>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</si>
  <si>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</si>
  <si>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</si>
  <si>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</si>
  <si>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</si>
  <si>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</si>
  <si>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</si>
  <si>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</si>
  <si>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</si>
  <si>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</si>
  <si>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</si>
  <si>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</si>
  <si>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</si>
  <si>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</si>
  <si>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</si>
  <si>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</si>
  <si>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</si>
  <si>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</si>
  <si>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</si>
  <si>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</si>
  <si>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</si>
  <si>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</si>
  <si>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</si>
  <si>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</si>
  <si>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</si>
  <si>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</si>
  <si>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</si>
  <si>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</si>
  <si>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</si>
  <si>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</si>
  <si>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</si>
  <si>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</si>
  <si>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</si>
  <si>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</si>
  <si>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</si>
  <si>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</si>
  <si>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</si>
  <si>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</si>
  <si>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</si>
  <si>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</si>
  <si>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</si>
  <si>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</si>
  <si>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</si>
  <si>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</si>
  <si>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</si>
  <si>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</si>
  <si>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</si>
  <si>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</si>
  <si>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</si>
  <si>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</si>
  <si>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</si>
  <si>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</si>
  <si>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</si>
  <si>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</si>
  <si>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</si>
  <si>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</si>
  <si>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</si>
  <si>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</si>
  <si>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</si>
  <si>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</si>
  <si>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</si>
  <si>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</si>
  <si>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</si>
  <si>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</si>
  <si>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</si>
  <si>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</si>
  <si>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</si>
  <si>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</si>
  <si>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</si>
  <si>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</si>
  <si>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</si>
  <si>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</si>
  <si>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</si>
  <si>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</si>
  <si>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</si>
  <si>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</si>
  <si>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</si>
  <si>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</si>
  <si>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</si>
  <si>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</si>
  <si>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</si>
  <si>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</si>
  <si>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</si>
  <si>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</si>
  <si>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</si>
  <si>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</si>
  <si>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</si>
  <si>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</si>
  <si>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</si>
  <si>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</si>
  <si>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</si>
  <si>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</si>
  <si>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</si>
  <si>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</si>
  <si>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</si>
  <si>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</si>
  <si>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</si>
  <si>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</si>
  <si>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</si>
  <si>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</si>
  <si>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</si>
  <si>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</si>
  <si>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</si>
  <si>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</si>
  <si>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</si>
  <si>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</si>
  <si>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</si>
  <si>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</si>
  <si>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</si>
  <si>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</si>
  <si>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</si>
  <si>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</si>
  <si>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</si>
  <si>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</si>
  <si>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</si>
  <si>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</si>
  <si>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</si>
  <si>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</si>
  <si>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</si>
  <si>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</si>
  <si>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</si>
  <si>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</si>
  <si>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</si>
  <si>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</si>
  <si>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</si>
  <si>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</si>
  <si>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</si>
  <si>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</si>
  <si>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</si>
  <si>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</si>
  <si>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</si>
  <si>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</si>
  <si>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</si>
  <si>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</si>
  <si>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</si>
  <si>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</si>
  <si>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</si>
  <si>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</si>
  <si>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</si>
  <si>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</si>
  <si>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</si>
  <si>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</si>
  <si>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</si>
  <si>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</si>
  <si>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</si>
  <si>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</si>
  <si>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</si>
  <si>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</si>
  <si>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</si>
  <si>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</si>
  <si>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</si>
  <si>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</si>
  <si>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</si>
  <si>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</si>
  <si>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</si>
  <si>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</si>
  <si>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</si>
  <si>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</si>
  <si>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</si>
  <si>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</si>
  <si>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</si>
  <si>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</si>
  <si>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</si>
  <si>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</si>
  <si>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</si>
  <si>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</si>
  <si>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</si>
  <si>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</si>
  <si>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</si>
  <si>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</si>
  <si>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</si>
  <si>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</si>
  <si>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</si>
  <si>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</si>
  <si>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</si>
  <si>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</si>
  <si>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</si>
  <si>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</si>
  <si>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</si>
  <si>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</si>
  <si>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</si>
  <si>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</si>
  <si>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</si>
  <si>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</si>
  <si>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</si>
  <si>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</si>
  <si>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</si>
  <si>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</si>
  <si>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</si>
  <si>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</si>
  <si>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</si>
  <si>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</si>
  <si>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</si>
  <si>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</si>
  <si>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</si>
  <si>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</si>
  <si>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</si>
  <si>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</si>
  <si>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</si>
  <si>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</si>
  <si>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</si>
  <si>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</si>
  <si>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</si>
  <si>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</si>
  <si>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</si>
  <si>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</si>
  <si>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</si>
  <si>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</si>
  <si>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</si>
  <si>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</si>
  <si>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</si>
  <si>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</si>
  <si>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</si>
  <si>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</si>
  <si>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</si>
  <si>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</si>
  <si>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</si>
  <si>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</si>
  <si>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</si>
  <si>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</si>
  <si>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</si>
  <si>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</si>
  <si>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</si>
  <si>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</si>
  <si>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</si>
  <si>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</si>
  <si>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</si>
  <si>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</si>
  <si>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</si>
  <si>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</si>
  <si>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</si>
  <si>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</si>
  <si>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</si>
  <si>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</si>
  <si>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</si>
  <si>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</si>
  <si>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</si>
  <si>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</si>
  <si>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</si>
  <si>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</si>
  <si>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</si>
  <si>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</si>
  <si>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</si>
  <si>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</si>
  <si>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</si>
  <si>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</si>
  <si>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</si>
  <si>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</si>
  <si>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</si>
  <si>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</si>
  <si>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</si>
  <si>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</si>
  <si>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</si>
  <si>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</si>
  <si>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</si>
  <si>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</si>
  <si>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</si>
  <si>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</si>
  <si>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</si>
  <si>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</si>
  <si>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</si>
  <si>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</si>
  <si>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</si>
  <si>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</si>
  <si>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</si>
  <si>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</si>
  <si>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</si>
  <si>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</si>
  <si>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</si>
  <si>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</si>
  <si>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</si>
  <si>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</si>
  <si>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</si>
  <si>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</si>
  <si>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</si>
  <si>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</si>
  <si>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</si>
  <si>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</si>
  <si>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</si>
  <si>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</si>
  <si>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</si>
  <si>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</si>
  <si>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</si>
  <si>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</si>
  <si>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</si>
  <si>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</si>
  <si>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</si>
  <si>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</si>
  <si>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</si>
  <si>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</si>
  <si>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</si>
  <si>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</si>
  <si>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</si>
  <si>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</si>
  <si>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</si>
  <si>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</si>
  <si>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</si>
  <si>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</si>
  <si>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</si>
  <si>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</si>
  <si>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</si>
  <si>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</si>
  <si>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</si>
  <si>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</si>
  <si>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</si>
  <si>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</si>
  <si>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</si>
  <si>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</si>
  <si>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</si>
  <si>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</si>
  <si>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</si>
  <si>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</si>
  <si>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</si>
  <si>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</si>
  <si>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</si>
  <si>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</si>
  <si>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</si>
  <si>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</si>
  <si>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</si>
  <si>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</si>
  <si>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</si>
  <si>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</si>
  <si>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</si>
  <si>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</si>
  <si>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</si>
  <si>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</si>
  <si>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</si>
  <si>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</si>
  <si>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</si>
  <si>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</si>
  <si>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</si>
  <si>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</si>
  <si>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</si>
  <si>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</si>
  <si>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</si>
  <si>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</si>
  <si>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</si>
  <si>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</si>
  <si>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</si>
  <si>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</si>
  <si>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</si>
  <si>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</si>
  <si>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</si>
  <si>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</si>
  <si>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</si>
  <si>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</si>
  <si>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</si>
  <si>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</si>
  <si>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</si>
  <si>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</si>
  <si>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</si>
  <si>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</si>
  <si>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</si>
  <si>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</si>
  <si>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</si>
  <si>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</si>
  <si>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</si>
  <si>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</si>
  <si>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</si>
  <si>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</si>
  <si>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</si>
  <si>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</si>
  <si>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</si>
  <si>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</si>
  <si>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</si>
  <si>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</si>
  <si>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</si>
  <si>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</si>
  <si>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</si>
  <si>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</si>
  <si>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</si>
  <si>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</si>
  <si>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</si>
  <si>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</si>
  <si>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</si>
  <si>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</si>
  <si>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</si>
  <si>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</si>
  <si>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</si>
  <si>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</si>
  <si>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</si>
  <si>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</si>
  <si>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</si>
  <si>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</si>
  <si>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</si>
  <si>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</si>
  <si>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</si>
  <si>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</si>
  <si>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</si>
  <si>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</si>
  <si>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</si>
  <si>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</si>
  <si>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</si>
  <si>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</si>
  <si>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</si>
  <si>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</si>
  <si>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</si>
  <si>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</si>
  <si>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</si>
  <si>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</si>
  <si>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</si>
  <si>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</si>
  <si>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</si>
  <si>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</si>
  <si>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</si>
  <si>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</si>
  <si>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</si>
  <si>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</si>
  <si>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</si>
  <si>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</si>
  <si>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</si>
  <si>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</si>
  <si>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</si>
  <si>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</si>
  <si>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</si>
  <si>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</si>
  <si>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</si>
  <si>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</si>
  <si>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</si>
  <si>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</si>
  <si>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</si>
  <si>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</si>
  <si>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</si>
  <si>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</si>
  <si>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</si>
  <si>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</si>
  <si>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</si>
  <si>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</si>
  <si>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</si>
  <si>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</si>
  <si>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</si>
  <si>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</si>
  <si>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</si>
  <si>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</si>
  <si>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</si>
  <si>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</si>
  <si>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</si>
  <si>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</si>
  <si>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</si>
  <si>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</si>
  <si>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</si>
  <si>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</si>
  <si>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</si>
  <si>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</si>
  <si>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</si>
  <si>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</si>
  <si>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</si>
  <si>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</si>
  <si>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</si>
  <si>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</si>
  <si>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</si>
  <si>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</si>
  <si>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</si>
  <si>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</si>
  <si>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</si>
  <si>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</si>
  <si>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</si>
  <si>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</si>
  <si>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</si>
  <si>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</si>
  <si>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</si>
  <si>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</si>
  <si>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</si>
  <si>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</si>
  <si>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</si>
  <si>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</si>
  <si>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</si>
  <si>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</si>
  <si>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</si>
  <si>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</si>
  <si>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</si>
  <si>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</si>
  <si>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</si>
  <si>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</si>
  <si>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</si>
  <si>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</si>
  <si>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</si>
  <si>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</si>
  <si>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</si>
  <si>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</si>
  <si>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</si>
  <si>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</si>
  <si>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</si>
  <si>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</si>
  <si>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</si>
  <si>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</si>
  <si>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</si>
  <si>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</si>
  <si>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</si>
  <si>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</si>
  <si>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</si>
  <si>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</si>
  <si>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</si>
  <si>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</si>
  <si>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</si>
  <si>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</si>
  <si>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</si>
  <si>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</si>
  <si>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</si>
  <si>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</si>
  <si>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</si>
  <si>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</si>
  <si>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</si>
  <si>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</si>
  <si>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</si>
  <si>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</si>
  <si>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</si>
  <si>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</si>
  <si>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</si>
  <si>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</si>
  <si>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</si>
  <si>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</si>
  <si>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</si>
  <si>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</si>
  <si>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</si>
  <si>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</si>
  <si>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</si>
  <si>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</si>
  <si>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</si>
  <si>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</si>
  <si>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</si>
  <si>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</si>
  <si>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</si>
  <si>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</si>
  <si>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</si>
  <si>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</si>
  <si>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</si>
  <si>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</si>
  <si>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</si>
  <si>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</si>
  <si>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</si>
  <si>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</si>
  <si>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</si>
  <si>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</si>
  <si>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</si>
  <si>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</si>
  <si>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</si>
  <si>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</si>
  <si>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</si>
  <si>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</si>
  <si>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</si>
  <si>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</si>
  <si>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</si>
  <si>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</si>
  <si>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</si>
  <si>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</si>
  <si>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</si>
  <si>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</si>
  <si>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</si>
  <si>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</si>
  <si>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</si>
  <si>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</si>
  <si>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</si>
  <si>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</si>
  <si>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</si>
  <si>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</si>
  <si>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</si>
  <si>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</si>
  <si>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</si>
  <si>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</si>
  <si>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</si>
  <si>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</si>
  <si>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</si>
  <si>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</si>
  <si>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</si>
  <si>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</si>
  <si>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</si>
  <si>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</si>
  <si>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</si>
  <si>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</si>
  <si>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</si>
  <si>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</si>
  <si>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</si>
  <si>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</si>
  <si>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</si>
  <si>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</si>
  <si>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</si>
  <si>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</si>
  <si>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</si>
  <si>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</si>
  <si>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</si>
  <si>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</si>
  <si>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</si>
  <si>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</si>
  <si>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</si>
  <si>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</si>
  <si>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</si>
  <si>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</si>
  <si>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</si>
  <si>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</si>
  <si>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</si>
  <si>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</si>
  <si>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</si>
  <si>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</si>
  <si>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</si>
  <si>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</si>
  <si>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</si>
  <si>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</si>
  <si>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</si>
  <si>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</si>
  <si>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</si>
  <si>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</si>
  <si>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</si>
  <si>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</si>
  <si>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</si>
  <si>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</si>
  <si>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</si>
  <si>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</si>
  <si>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</si>
  <si>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</si>
  <si>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</si>
  <si>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</si>
  <si>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</si>
  <si>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</si>
  <si>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</si>
  <si>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</si>
  <si>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</si>
  <si>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</si>
  <si>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</si>
  <si>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</si>
  <si>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</si>
  <si>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</si>
  <si>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</si>
  <si>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</si>
  <si>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</si>
  <si>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</si>
  <si>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</si>
  <si>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</si>
  <si>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</si>
  <si>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</si>
  <si>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</si>
  <si>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</si>
  <si>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</si>
  <si>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</si>
  <si>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</si>
  <si>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</si>
  <si>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</si>
  <si>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</si>
  <si>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</si>
  <si>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</si>
  <si>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</si>
  <si>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</si>
  <si>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</si>
  <si>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</si>
  <si>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</si>
  <si>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</si>
  <si>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</si>
  <si>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</si>
  <si>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</si>
  <si>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</si>
  <si>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</si>
  <si>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</si>
  <si>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</si>
  <si>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</si>
  <si>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</si>
  <si>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</si>
  <si>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</si>
  <si>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</si>
  <si>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</si>
  <si>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</si>
  <si>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</si>
  <si>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</si>
  <si>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</si>
  <si>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</si>
  <si>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</si>
  <si>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</si>
  <si>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</si>
  <si>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</si>
  <si>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</si>
  <si>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</si>
  <si>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</si>
  <si>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</si>
  <si>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</si>
  <si>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</si>
  <si>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</si>
  <si>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</si>
  <si>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</si>
  <si>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</si>
  <si>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</si>
  <si>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</si>
  <si>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</si>
  <si>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</si>
  <si>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</si>
  <si>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</si>
  <si>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</si>
  <si>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</si>
  <si>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</si>
  <si>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</si>
  <si>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</si>
  <si>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</si>
  <si>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</si>
  <si>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</si>
  <si>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</si>
  <si>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</si>
  <si>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</si>
  <si>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</si>
  <si>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</si>
  <si>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</si>
  <si>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</si>
  <si>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</si>
  <si>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</si>
  <si>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</si>
  <si>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</si>
  <si>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</si>
  <si>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</si>
  <si>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</si>
  <si>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</si>
  <si>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</si>
  <si>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</si>
  <si>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</si>
  <si>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</si>
  <si>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</si>
  <si>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</si>
  <si>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</si>
  <si>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</si>
  <si>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</si>
  <si>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</si>
  <si>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</si>
  <si>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</si>
  <si>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</si>
  <si>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</si>
  <si>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</si>
  <si>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</si>
  <si>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</si>
  <si>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</si>
  <si>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</si>
  <si>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</si>
  <si>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</si>
  <si>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</si>
  <si>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</si>
  <si>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</si>
  <si>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</si>
  <si>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</si>
  <si>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</si>
  <si>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</si>
  <si>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</si>
  <si>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</si>
  <si>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</si>
  <si>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</si>
  <si>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</si>
  <si>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</si>
  <si>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</si>
  <si>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</si>
  <si>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</si>
  <si>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</si>
  <si>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</si>
  <si>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</si>
  <si>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</si>
  <si>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</si>
  <si>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</si>
  <si>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</si>
  <si>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</si>
  <si>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</si>
  <si>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</si>
  <si>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</si>
  <si>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</si>
  <si>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</si>
  <si>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</si>
  <si>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</si>
  <si>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</si>
  <si>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</si>
  <si>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</si>
  <si>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</si>
  <si>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</si>
  <si>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</si>
  <si>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</si>
  <si>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</si>
  <si>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</si>
  <si>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</si>
  <si>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</si>
  <si>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</si>
  <si>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</si>
  <si>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</si>
  <si>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</si>
  <si>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</si>
  <si>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</si>
  <si>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</si>
  <si>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</si>
  <si>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</si>
  <si>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</si>
  <si>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</si>
  <si>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</si>
  <si>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</si>
  <si>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</si>
  <si>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</si>
  <si>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</si>
  <si>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</si>
  <si>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</si>
  <si>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</si>
  <si>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</si>
  <si>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</si>
  <si>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</si>
  <si>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</si>
  <si>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</si>
  <si>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</si>
  <si>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</si>
  <si>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</si>
  <si>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</si>
  <si>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</si>
  <si>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</si>
  <si>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</si>
  <si>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</si>
  <si>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</si>
  <si>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</si>
  <si>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</si>
  <si>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</si>
  <si>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</si>
  <si>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</si>
  <si>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</si>
  <si>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</si>
  <si>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</si>
  <si>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</si>
  <si>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</si>
  <si>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</si>
  <si>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</si>
  <si>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</si>
  <si>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</si>
  <si>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</si>
  <si>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</si>
  <si>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</si>
  <si>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</si>
  <si>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</si>
  <si>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</si>
  <si>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</si>
  <si>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</si>
  <si>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</si>
  <si>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</si>
  <si>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</si>
  <si>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</si>
  <si>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</si>
  <si>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</si>
  <si>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</si>
  <si>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</si>
  <si>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</si>
  <si>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</si>
  <si>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</si>
  <si>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</si>
  <si>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</si>
  <si>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</si>
  <si>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</si>
  <si>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</si>
  <si>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</si>
  <si>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</si>
  <si>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</si>
  <si>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</si>
  <si>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</si>
  <si>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</si>
  <si>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</si>
  <si>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</si>
  <si>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</si>
  <si>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</si>
  <si>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</si>
  <si>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</si>
  <si>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</si>
  <si>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</si>
  <si>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</si>
  <si>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</si>
  <si>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</si>
  <si>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</si>
  <si>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</si>
  <si>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</si>
  <si>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</si>
  <si>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</si>
  <si>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</si>
  <si>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</si>
  <si>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</si>
  <si>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</si>
  <si>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</si>
  <si>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</si>
  <si>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</si>
  <si>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</si>
  <si>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</si>
  <si>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</si>
  <si>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</si>
  <si>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</si>
  <si>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</si>
  <si>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</si>
  <si>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</si>
  <si>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</si>
  <si>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</si>
  <si>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</si>
  <si>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</si>
  <si>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</si>
  <si>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</si>
  <si>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</si>
  <si>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</si>
  <si>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</si>
  <si>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</si>
  <si>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</si>
  <si>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</si>
  <si>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</si>
  <si>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</si>
  <si>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</si>
  <si>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</si>
  <si>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</si>
  <si>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</si>
  <si>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</si>
  <si>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</si>
  <si>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</si>
  <si>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</si>
  <si>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</si>
  <si>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</si>
  <si>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</si>
  <si>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</si>
  <si>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</si>
  <si>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</si>
  <si>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</si>
  <si>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</si>
  <si>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</si>
  <si>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</si>
  <si>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</si>
  <si>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</si>
  <si>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</si>
  <si>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</si>
  <si>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</si>
  <si>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</si>
  <si>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</si>
  <si>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</si>
  <si>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</si>
  <si>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</si>
  <si>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</si>
  <si>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</si>
  <si>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</si>
  <si>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</si>
  <si>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</si>
  <si>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</si>
  <si>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</si>
  <si>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</si>
  <si>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</si>
  <si>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</si>
  <si>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</si>
  <si>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</si>
  <si>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</si>
  <si>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</si>
  <si>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</si>
  <si>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</si>
  <si>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</si>
  <si>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</si>
  <si>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</si>
  <si>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</si>
  <si>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</si>
  <si>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</si>
  <si>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</si>
  <si>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</si>
  <si>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</si>
  <si>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</si>
  <si>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</si>
  <si>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</si>
  <si>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</si>
  <si>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</si>
  <si>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</si>
  <si>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</si>
  <si>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</si>
  <si>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</si>
  <si>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</si>
  <si>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</si>
  <si>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</si>
  <si>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</si>
  <si>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</si>
  <si>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</si>
  <si>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</si>
  <si>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</si>
  <si>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</si>
  <si>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</si>
  <si>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</si>
  <si>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</si>
  <si>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</si>
  <si>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</si>
  <si>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</si>
  <si>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</si>
  <si>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</si>
  <si>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</si>
  <si>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</si>
  <si>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</si>
  <si>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</si>
  <si>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</si>
  <si>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</si>
  <si>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</si>
  <si>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</si>
  <si>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</si>
  <si>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</si>
  <si>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</si>
  <si>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</si>
  <si>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</si>
  <si>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</si>
  <si>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</si>
  <si>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</si>
  <si>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</si>
  <si>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</si>
  <si>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</si>
  <si>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</si>
  <si>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</si>
  <si>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</si>
  <si>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</si>
  <si>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</si>
  <si>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</si>
  <si>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</si>
  <si>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</si>
  <si>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</si>
  <si>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</si>
  <si>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</si>
  <si>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</si>
  <si>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</si>
  <si>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</si>
  <si>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</si>
  <si>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</si>
  <si>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</si>
  <si>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</si>
  <si>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</si>
  <si>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</si>
  <si>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</si>
  <si>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</si>
  <si>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</si>
  <si>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</si>
  <si>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</si>
  <si>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</si>
  <si>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</si>
  <si>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</si>
  <si>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</si>
  <si>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</si>
  <si>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</si>
  <si>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</si>
  <si>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</si>
  <si>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</si>
  <si>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</si>
  <si>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</si>
  <si>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</si>
  <si>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</si>
  <si>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</si>
  <si>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</si>
  <si>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</si>
  <si>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</si>
  <si>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</si>
  <si>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</si>
  <si>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</si>
  <si>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</si>
  <si>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</si>
  <si>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</si>
  <si>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</si>
  <si>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</si>
  <si>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</si>
  <si>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</si>
  <si>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</si>
  <si>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</si>
  <si>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</si>
  <si>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</si>
  <si>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</si>
  <si>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</si>
  <si>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</si>
  <si>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</si>
  <si>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</si>
  <si>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</si>
  <si>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</si>
  <si>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</si>
  <si>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</si>
  <si>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</si>
  <si>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</si>
  <si>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</si>
  <si>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</si>
  <si>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</si>
  <si>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</si>
  <si>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</si>
  <si>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</si>
  <si>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</si>
  <si>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</si>
  <si>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</si>
  <si>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</si>
  <si>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</si>
  <si>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</si>
  <si>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</si>
  <si>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</si>
  <si>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</si>
  <si>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</si>
  <si>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</si>
  <si>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</si>
  <si>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</si>
  <si>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</si>
  <si>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</si>
  <si>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</si>
  <si>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</si>
  <si>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</si>
  <si>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</si>
  <si>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</si>
  <si>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</si>
  <si>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</si>
  <si>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</si>
  <si>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</si>
  <si>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</si>
  <si>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</si>
  <si>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</si>
  <si>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</si>
  <si>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</si>
  <si>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</si>
  <si>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</si>
  <si>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</si>
  <si>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</si>
  <si>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</si>
  <si>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</si>
  <si>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</si>
  <si>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</si>
  <si>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</si>
  <si>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</si>
  <si>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</si>
  <si>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</si>
  <si>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</si>
  <si>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</si>
  <si>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</si>
  <si>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</si>
  <si>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</si>
  <si>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</si>
  <si>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</si>
  <si>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</si>
  <si>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</si>
  <si>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</si>
  <si>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</si>
  <si>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</si>
  <si>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</si>
  <si>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</si>
  <si>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</si>
  <si>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</si>
  <si>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</si>
  <si>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</si>
  <si>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</si>
  <si>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</si>
  <si>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</si>
  <si>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</si>
  <si>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</si>
  <si>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</si>
  <si>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</si>
  <si>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</si>
  <si>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</si>
  <si>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</si>
  <si>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</si>
  <si>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</si>
  <si>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</si>
  <si>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</si>
  <si>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</si>
  <si>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</si>
  <si>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</si>
  <si>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</si>
  <si>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</si>
  <si>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</si>
  <si>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</si>
  <si>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</si>
  <si>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</si>
  <si>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</si>
  <si>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</si>
  <si>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</si>
  <si>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</si>
  <si>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</si>
  <si>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</si>
  <si>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</si>
  <si>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</si>
  <si>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</si>
  <si>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</si>
  <si>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</si>
  <si>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</si>
  <si>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</si>
  <si>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</si>
  <si>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</si>
  <si>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</si>
  <si>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</si>
  <si>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</si>
  <si>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</si>
  <si>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</si>
  <si>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</si>
  <si>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</si>
  <si>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</si>
  <si>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</si>
  <si>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</si>
  <si>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</si>
  <si>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</si>
  <si>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</si>
  <si>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</si>
  <si>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</si>
  <si>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</si>
  <si>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</si>
  <si>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</si>
  <si>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</si>
  <si>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</si>
  <si>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</si>
  <si>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</si>
  <si>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</si>
  <si>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</si>
  <si>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</si>
  <si>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</si>
  <si>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</si>
  <si>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</si>
  <si>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</si>
  <si>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</si>
  <si>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</si>
  <si>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</si>
  <si>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</si>
  <si>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</si>
  <si>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</si>
  <si>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</si>
  <si>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</si>
  <si>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</si>
  <si>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</si>
  <si>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</si>
  <si>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</si>
  <si>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</si>
  <si>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</si>
  <si>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</si>
  <si>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</si>
  <si>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</si>
  <si>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</si>
  <si>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</si>
  <si>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</si>
  <si>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</si>
  <si>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</si>
  <si>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</si>
  <si>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</si>
  <si>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</si>
  <si>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</si>
  <si>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</si>
  <si>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</si>
  <si>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</si>
  <si>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</si>
  <si>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</si>
  <si>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</si>
  <si>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</si>
  <si>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</si>
  <si>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</si>
  <si>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</si>
  <si>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</si>
  <si>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</si>
  <si>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</si>
  <si>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</si>
  <si>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</si>
  <si>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</si>
  <si>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</si>
  <si>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</si>
  <si>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</si>
  <si>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</si>
  <si>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</si>
  <si>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</si>
  <si>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</si>
  <si>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</si>
  <si>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</si>
  <si>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</si>
  <si>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</si>
  <si>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</si>
  <si>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</si>
  <si>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</si>
  <si>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</si>
  <si>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</si>
  <si>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</si>
  <si>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</si>
  <si>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</si>
  <si>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</si>
  <si>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</si>
  <si>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</si>
  <si>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</si>
  <si>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</si>
  <si>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</si>
  <si>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</si>
  <si>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</si>
  <si>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</si>
  <si>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</si>
  <si>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</si>
  <si>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</si>
  <si>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</si>
  <si>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</si>
  <si>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</si>
  <si>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</si>
  <si>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</si>
  <si>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</si>
  <si>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</si>
  <si>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</si>
  <si>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</si>
  <si>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</si>
  <si>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</si>
  <si>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</si>
  <si>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</si>
  <si>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</si>
  <si>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</si>
  <si>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</si>
  <si>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</si>
  <si>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</si>
  <si>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</si>
  <si>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</si>
  <si>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</si>
  <si>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</si>
  <si>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</si>
  <si>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</si>
  <si>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</si>
  <si>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</si>
  <si>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</si>
  <si>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</si>
  <si>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</si>
  <si>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</si>
  <si>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</si>
  <si>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</si>
  <si>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</si>
  <si>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</si>
  <si>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</si>
  <si>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</si>
  <si>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</si>
  <si>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</si>
  <si>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</si>
  <si>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</si>
  <si>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</si>
  <si>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</si>
  <si>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</si>
  <si>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</si>
  <si>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</si>
  <si>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</si>
  <si>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</si>
  <si>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</si>
  <si>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</si>
  <si>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</si>
  <si>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</si>
  <si>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</si>
  <si>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</si>
  <si>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</si>
  <si>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</si>
  <si>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</si>
  <si>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</si>
  <si>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</si>
  <si>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</si>
  <si>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</si>
  <si>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</si>
  <si>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</si>
  <si>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</si>
  <si>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</si>
  <si>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</si>
  <si>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</si>
  <si>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</si>
  <si>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</si>
  <si>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</si>
  <si>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</si>
  <si>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</si>
  <si>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</si>
  <si>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</si>
  <si>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</si>
  <si>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</si>
  <si>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</si>
  <si>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</si>
  <si>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</si>
  <si>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</si>
  <si>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</si>
  <si>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</si>
  <si>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</si>
  <si>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</si>
  <si>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</si>
  <si>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</si>
  <si>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</si>
  <si>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</si>
  <si>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</si>
  <si>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</si>
  <si>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</si>
  <si>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</si>
  <si>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</si>
  <si>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</si>
  <si>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</si>
  <si>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</si>
  <si>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</si>
  <si>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</si>
  <si>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</si>
  <si>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</si>
  <si>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</si>
  <si>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</si>
  <si>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</si>
  <si>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</si>
  <si>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</si>
  <si>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</si>
  <si>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</si>
  <si>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</si>
  <si>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</si>
  <si>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</si>
  <si>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</si>
  <si>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</si>
  <si>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</si>
  <si>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</si>
  <si>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</si>
  <si>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</si>
  <si>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</si>
  <si>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</si>
  <si>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</si>
  <si>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</si>
  <si>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</si>
  <si>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</si>
  <si>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</si>
  <si>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</si>
  <si>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</si>
  <si>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</si>
  <si>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</si>
  <si>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</si>
  <si>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</si>
  <si>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</si>
  <si>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</si>
  <si>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</si>
  <si>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</si>
  <si>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</si>
  <si>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</si>
  <si>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</si>
  <si>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</si>
  <si>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</si>
  <si>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</si>
  <si>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</si>
  <si>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</si>
  <si>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</si>
  <si>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</si>
  <si>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</si>
  <si>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</si>
  <si>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</si>
  <si>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</si>
  <si>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</si>
  <si>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</si>
  <si>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</si>
  <si>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</si>
  <si>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</si>
  <si>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</si>
  <si>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</si>
  <si>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</si>
  <si>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</si>
  <si>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</si>
  <si>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</si>
  <si>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</si>
  <si>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</si>
  <si>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</si>
  <si>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</si>
  <si>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</si>
  <si>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</si>
  <si>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</si>
  <si>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</si>
  <si>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</si>
  <si>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</si>
  <si>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</si>
  <si>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</si>
  <si>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</si>
  <si>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</si>
  <si>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</si>
  <si>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</si>
  <si>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</si>
  <si>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</si>
  <si>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</si>
  <si>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</si>
  <si>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</si>
  <si>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</si>
  <si>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</si>
  <si>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</si>
  <si>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</si>
  <si>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</si>
  <si>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</si>
  <si>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</si>
  <si>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</si>
  <si>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</si>
  <si>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</si>
  <si>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</si>
  <si>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</si>
  <si>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</si>
  <si>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</si>
  <si>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</si>
  <si>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</si>
  <si>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</si>
  <si>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</si>
  <si>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</si>
  <si>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</si>
  <si>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</si>
  <si>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</si>
  <si>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</si>
  <si>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</si>
  <si>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</si>
  <si>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</si>
  <si>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</si>
  <si>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</si>
  <si>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</si>
  <si>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</si>
  <si>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</si>
  <si>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</si>
  <si>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</si>
  <si>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</si>
  <si>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</si>
  <si>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</si>
  <si>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</si>
  <si>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</si>
  <si>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</si>
  <si>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</si>
  <si>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</si>
  <si>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</si>
  <si>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</si>
  <si>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</si>
  <si>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</si>
  <si>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</si>
  <si>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</si>
  <si>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</si>
  <si>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</si>
  <si>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</si>
  <si>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</si>
  <si>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</si>
  <si>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</si>
  <si>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</si>
  <si>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</si>
  <si>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</si>
  <si>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</si>
  <si>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</si>
  <si>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</si>
  <si>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</si>
  <si>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</si>
  <si>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</si>
  <si>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</si>
  <si>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</si>
  <si>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</si>
  <si>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</si>
  <si>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</si>
  <si>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</si>
  <si>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</si>
  <si>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</si>
  <si>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</si>
  <si>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</si>
  <si>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</si>
  <si>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</si>
  <si>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</si>
  <si>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</si>
  <si>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</si>
  <si>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</si>
  <si>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</si>
  <si>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</si>
  <si>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</si>
  <si>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</si>
  <si>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</si>
  <si>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</si>
  <si>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</si>
  <si>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</si>
  <si>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</si>
  <si>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</si>
  <si>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</si>
  <si>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</si>
  <si>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</si>
  <si>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</si>
  <si>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</si>
  <si>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</si>
  <si>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</si>
  <si>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</si>
  <si>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</si>
  <si>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</si>
  <si>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</si>
  <si>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</si>
  <si>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</si>
  <si>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</si>
  <si>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</si>
  <si>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</si>
  <si>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</si>
  <si>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</si>
  <si>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</si>
  <si>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</si>
  <si>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</si>
  <si>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</si>
  <si>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</si>
  <si>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</si>
  <si>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</si>
  <si>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</si>
  <si>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</si>
  <si>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</si>
  <si>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</si>
  <si>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</si>
  <si>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</si>
  <si>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</si>
  <si>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</si>
  <si>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</si>
  <si>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</si>
  <si>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</si>
  <si>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</si>
  <si>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</si>
  <si>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</si>
  <si>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</si>
  <si>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</si>
  <si>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</si>
  <si>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</si>
  <si>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</si>
  <si>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</si>
  <si>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</si>
  <si>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</si>
  <si>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</si>
  <si>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</si>
  <si>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</si>
  <si>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</si>
  <si>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</si>
  <si>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</si>
  <si>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</si>
  <si>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</si>
  <si>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</si>
  <si>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</si>
  <si>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</si>
  <si>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</si>
  <si>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</si>
  <si>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</si>
  <si>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</si>
  <si>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</si>
  <si>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</si>
  <si>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</si>
  <si>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</si>
  <si>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</si>
  <si>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</si>
  <si>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</si>
  <si>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</si>
  <si>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</si>
  <si>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</si>
  <si>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</si>
  <si>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</si>
  <si>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</si>
  <si>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</si>
  <si>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</si>
  <si>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</si>
  <si>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</si>
  <si>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</si>
  <si>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</si>
  <si>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</si>
  <si>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</si>
  <si>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</si>
  <si>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</si>
  <si>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</si>
  <si>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</si>
  <si>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</si>
  <si>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</si>
  <si>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</si>
  <si>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</si>
  <si>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</si>
  <si>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</si>
  <si>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</si>
  <si>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</si>
  <si>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</si>
  <si>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</si>
  <si>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</si>
  <si>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</si>
  <si>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</si>
  <si>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</si>
  <si>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</si>
  <si>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</si>
  <si>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</si>
  <si>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</si>
  <si>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</si>
  <si>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</si>
  <si>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</si>
  <si>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</si>
  <si>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</si>
  <si>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</si>
  <si>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</si>
  <si>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</si>
  <si>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</si>
  <si>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</si>
  <si>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</si>
  <si>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</si>
  <si>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</si>
  <si>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</si>
  <si>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</si>
  <si>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</si>
  <si>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</si>
  <si>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</si>
  <si>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</si>
  <si>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</si>
  <si>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</si>
  <si>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</si>
  <si>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</si>
  <si>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</si>
  <si>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</si>
  <si>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</si>
  <si>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</si>
  <si>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</si>
  <si>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</si>
  <si>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</si>
  <si>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</si>
  <si>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</si>
  <si>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</si>
  <si>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</si>
  <si>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</si>
  <si>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</si>
  <si>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</si>
  <si>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</si>
  <si>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</si>
  <si>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</si>
  <si>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</si>
  <si>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</si>
  <si>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</si>
  <si>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</si>
  <si>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</si>
  <si>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</si>
  <si>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</si>
  <si>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</si>
  <si>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</si>
  <si>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</si>
  <si>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</si>
  <si>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</si>
  <si>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</si>
  <si>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</si>
  <si>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</si>
  <si>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</si>
  <si>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</si>
  <si>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</si>
  <si>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</si>
  <si>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</si>
  <si>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</si>
  <si>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</si>
  <si>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</si>
  <si>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</si>
  <si>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</si>
  <si>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</si>
  <si>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</si>
  <si>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</si>
  <si>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</si>
  <si>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</si>
  <si>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</si>
  <si>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</si>
  <si>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</si>
  <si>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</si>
  <si>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</si>
  <si>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</si>
  <si>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</si>
  <si>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</si>
  <si>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</si>
  <si>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</si>
  <si>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</si>
  <si>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</si>
  <si>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</si>
  <si>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</si>
  <si>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</si>
  <si>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</si>
  <si>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</si>
  <si>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</si>
  <si>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</si>
  <si>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</si>
  <si>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</si>
  <si>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</si>
  <si>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</si>
  <si>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</si>
  <si>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</si>
  <si>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</si>
  <si>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</si>
  <si>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</si>
  <si>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</si>
  <si>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</si>
  <si>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</si>
  <si>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</si>
  <si>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</si>
  <si>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</si>
  <si>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</si>
  <si>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</si>
  <si>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</si>
  <si>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</si>
  <si>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</si>
  <si>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</si>
  <si>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</si>
  <si>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</si>
  <si>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</si>
  <si>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</si>
  <si>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</si>
  <si>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</si>
  <si>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</si>
  <si>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</si>
  <si>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</si>
  <si>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</si>
  <si>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</si>
  <si>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</si>
  <si>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</si>
  <si>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</si>
  <si>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</si>
  <si>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</si>
  <si>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</si>
  <si>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</si>
  <si>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</si>
  <si>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</si>
  <si>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</si>
  <si>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</si>
  <si>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</si>
  <si>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</si>
  <si>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</si>
  <si>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</si>
  <si>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</si>
  <si>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</si>
  <si>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</si>
  <si>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</si>
  <si>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</si>
  <si>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</si>
  <si>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</si>
  <si>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</si>
  <si>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</si>
  <si>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</si>
  <si>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</si>
  <si>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</si>
  <si>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</si>
  <si>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</si>
  <si>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</si>
  <si>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</si>
  <si>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</si>
  <si>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</si>
  <si>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</si>
  <si>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</si>
  <si>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</si>
  <si>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</si>
  <si>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</si>
  <si>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</si>
  <si>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</si>
  <si>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</si>
  <si>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</si>
  <si>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</si>
  <si>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</si>
  <si>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</si>
  <si>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</si>
  <si>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</si>
  <si>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</si>
  <si>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</si>
  <si>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</si>
  <si>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</si>
  <si>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</si>
  <si>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</si>
  <si>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</si>
  <si>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</si>
  <si>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</si>
  <si>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</si>
  <si>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</si>
  <si>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</si>
  <si>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</si>
  <si>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</si>
  <si>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</si>
  <si>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</si>
  <si>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</si>
  <si>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</si>
  <si>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</si>
  <si>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</si>
  <si>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</si>
  <si>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</si>
  <si>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</si>
  <si>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</si>
  <si>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</si>
  <si>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</si>
  <si>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</si>
  <si>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</si>
  <si>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</si>
  <si>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</si>
  <si>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</si>
  <si>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</si>
  <si>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</si>
  <si>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</si>
  <si>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</si>
  <si>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</si>
  <si>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</si>
  <si>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</si>
  <si>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</si>
  <si>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</si>
  <si>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</si>
  <si>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</si>
  <si>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</si>
  <si>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</si>
  <si>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</si>
  <si>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</si>
  <si>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</si>
  <si>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</si>
  <si>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</si>
  <si>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</si>
  <si>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</si>
  <si>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</si>
  <si>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</si>
  <si>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</si>
  <si>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</si>
  <si>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</si>
  <si>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</si>
  <si>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</si>
  <si>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</si>
  <si>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</si>
  <si>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</si>
  <si>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</si>
  <si>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</si>
  <si>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</si>
  <si>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</si>
  <si>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</si>
  <si>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</si>
  <si>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</si>
  <si>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</si>
  <si>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</si>
  <si>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</si>
  <si>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</si>
  <si>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</si>
  <si>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</si>
  <si>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</si>
  <si>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</si>
  <si>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</si>
  <si>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</si>
  <si>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</si>
  <si>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</si>
  <si>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</si>
  <si>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</si>
  <si>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</si>
  <si>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</si>
  <si>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</si>
  <si>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</si>
  <si>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</si>
  <si>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</si>
  <si>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</si>
  <si>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</si>
  <si>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</si>
  <si>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</si>
  <si>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</si>
  <si>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</si>
  <si>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</si>
  <si>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</si>
  <si>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</si>
  <si>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</si>
  <si>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</si>
  <si>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</si>
  <si>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</si>
  <si>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</si>
  <si>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</si>
  <si>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</si>
  <si>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</si>
  <si>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</si>
  <si>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</si>
  <si>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</si>
  <si>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</si>
  <si>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</si>
  <si>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</si>
  <si>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</si>
  <si>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</si>
  <si>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</si>
  <si>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</si>
  <si>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</si>
  <si>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</si>
  <si>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</si>
  <si>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</si>
  <si>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</si>
  <si>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</si>
  <si>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</si>
  <si>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</si>
  <si>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</si>
  <si>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</si>
  <si>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</si>
  <si>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</si>
  <si>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</si>
  <si>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</si>
  <si>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</si>
  <si>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</si>
  <si>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</si>
  <si>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</si>
  <si>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</si>
  <si>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</si>
  <si>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</si>
  <si>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</si>
  <si>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</si>
  <si>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</si>
  <si>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</si>
  <si>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</si>
  <si>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</si>
  <si>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</si>
  <si>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</si>
  <si>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</si>
  <si>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</si>
  <si>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</si>
  <si>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</si>
  <si>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</si>
  <si>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</si>
  <si>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</si>
  <si>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</si>
  <si>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</si>
  <si>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</si>
  <si>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</si>
  <si>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</si>
  <si>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</si>
  <si>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</si>
  <si>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</si>
  <si>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</si>
  <si>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</si>
  <si>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</si>
  <si>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</si>
  <si>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</si>
  <si>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</si>
  <si>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</si>
  <si>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</si>
  <si>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</si>
  <si>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</si>
  <si>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</si>
  <si>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</si>
  <si>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</si>
  <si>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</si>
  <si>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</si>
  <si>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</si>
  <si>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</si>
  <si>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</si>
  <si>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</si>
  <si>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</si>
  <si>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</si>
  <si>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</si>
  <si>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</si>
  <si>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</si>
  <si>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</si>
  <si>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</si>
  <si>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</si>
  <si>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</si>
  <si>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</si>
  <si>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</si>
  <si>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</si>
  <si>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</si>
  <si>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</si>
  <si>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</si>
  <si>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</si>
  <si>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</si>
  <si>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</si>
  <si>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</si>
  <si>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</si>
  <si>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</si>
  <si>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</si>
  <si>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</si>
  <si>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</si>
  <si>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</si>
  <si>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</si>
  <si>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</si>
  <si>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</si>
  <si>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</si>
  <si>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</si>
  <si>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</si>
  <si>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</si>
  <si>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</si>
  <si>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</si>
  <si>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</si>
  <si>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</si>
  <si>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</si>
  <si>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</si>
  <si>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</si>
  <si>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</si>
  <si>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</si>
  <si>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</si>
  <si>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</si>
  <si>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</si>
  <si>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</si>
  <si>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</si>
  <si>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</si>
  <si>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</si>
  <si>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</si>
  <si>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</si>
  <si>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</si>
  <si>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</si>
  <si>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</si>
  <si>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</si>
  <si>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</si>
  <si>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</si>
  <si>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</si>
  <si>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</si>
  <si>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</si>
  <si>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</si>
  <si>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</si>
  <si>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</si>
  <si>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</si>
  <si>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</si>
  <si>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</si>
  <si>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</si>
  <si>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</si>
  <si>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</si>
  <si>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</si>
  <si>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</si>
  <si>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</si>
  <si>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</si>
  <si>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</si>
  <si>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</si>
  <si>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</si>
  <si>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</si>
  <si>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</si>
  <si>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</si>
  <si>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</si>
  <si>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</si>
  <si>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</si>
  <si>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</si>
  <si>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</si>
  <si>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</si>
  <si>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</si>
  <si>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</si>
  <si>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</si>
  <si>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</si>
  <si>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</si>
  <si>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</si>
  <si>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</si>
  <si>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</si>
  <si>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</si>
  <si>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</si>
  <si>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</si>
  <si>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</si>
  <si>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</si>
  <si>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</si>
  <si>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</si>
  <si>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</si>
  <si>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</si>
  <si>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</si>
  <si>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</si>
  <si>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</si>
  <si>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</si>
  <si>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</si>
  <si>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</si>
  <si>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</si>
  <si>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</si>
  <si>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</si>
  <si>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</si>
  <si>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</si>
  <si>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</si>
  <si>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</si>
  <si>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</si>
  <si>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</si>
  <si>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</si>
  <si>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</si>
  <si>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</si>
  <si>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</si>
  <si>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</si>
  <si>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</si>
  <si>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</si>
  <si>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</si>
  <si>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</si>
  <si>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</si>
  <si>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</si>
  <si>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</si>
  <si>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</si>
  <si>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</si>
  <si>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</si>
  <si>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</si>
  <si>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</si>
  <si>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</si>
  <si>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</si>
  <si>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</si>
  <si>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</si>
  <si>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</si>
  <si>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</si>
  <si>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</si>
  <si>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</si>
  <si>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</si>
  <si>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</si>
  <si>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</si>
  <si>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</si>
  <si>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</si>
  <si>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</si>
  <si>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</si>
  <si>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</si>
  <si>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</si>
  <si>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</si>
  <si>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</si>
  <si>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</si>
  <si>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</si>
  <si>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</si>
  <si>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</si>
  <si>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</si>
  <si>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</si>
  <si>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</si>
  <si>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</si>
  <si>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</si>
  <si>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</si>
  <si>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</si>
  <si>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</si>
  <si>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</si>
  <si>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</si>
  <si>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</si>
  <si>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</si>
  <si>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</si>
  <si>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</si>
  <si>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</si>
  <si>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</si>
  <si>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</si>
  <si>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</si>
  <si>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</si>
  <si>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</si>
  <si>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</si>
  <si>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</si>
  <si>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</si>
  <si>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</si>
  <si>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</si>
  <si>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</si>
  <si>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</si>
  <si>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</si>
  <si>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</si>
  <si>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</si>
  <si>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</si>
  <si>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</si>
  <si>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</si>
  <si>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</si>
  <si>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</si>
  <si>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</si>
  <si>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</si>
  <si>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</si>
  <si>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</si>
  <si>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</si>
  <si>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</si>
  <si>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</si>
  <si>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</si>
  <si>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</si>
  <si>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</si>
  <si>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</si>
  <si>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</si>
  <si>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</si>
  <si>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</si>
  <si>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</si>
  <si>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</si>
  <si>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</si>
  <si>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</si>
  <si>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</si>
  <si>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</si>
  <si>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</si>
  <si>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</si>
  <si>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</si>
  <si>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</si>
  <si>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</si>
  <si>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</si>
  <si>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</si>
  <si>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</si>
  <si>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</si>
  <si>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</si>
  <si>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</si>
  <si>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</si>
  <si>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</si>
  <si>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</si>
  <si>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</si>
  <si>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</si>
  <si>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</si>
  <si>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</si>
  <si>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</si>
  <si>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</si>
  <si>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</si>
  <si>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</si>
  <si>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</si>
  <si>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</si>
  <si>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</si>
  <si>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</si>
  <si>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</si>
  <si>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</si>
  <si>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</si>
  <si>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</si>
  <si>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</si>
  <si>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</si>
  <si>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</si>
  <si>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</si>
  <si>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</si>
  <si>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</si>
  <si>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</si>
  <si>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</si>
  <si>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</si>
  <si>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</si>
  <si>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</si>
  <si>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</si>
  <si>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</si>
  <si>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</si>
  <si>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</si>
  <si>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</si>
  <si>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</si>
  <si>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</si>
  <si>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</si>
  <si>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</si>
  <si>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</si>
  <si>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</si>
  <si>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</si>
  <si>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</si>
  <si>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</si>
  <si>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</si>
  <si>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</si>
  <si>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</si>
  <si>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</si>
  <si>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</si>
  <si>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</si>
  <si>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</si>
  <si>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</si>
  <si>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</si>
  <si>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</si>
  <si>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</si>
  <si>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</si>
  <si>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</si>
  <si>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</si>
  <si>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</si>
  <si>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</si>
  <si>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</si>
  <si>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</si>
  <si>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</si>
  <si>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</si>
  <si>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</si>
  <si>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</si>
  <si>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</si>
  <si>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</si>
  <si>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</si>
  <si>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</si>
  <si>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</si>
  <si>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</si>
  <si>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</si>
  <si>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</si>
  <si>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</si>
  <si>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</si>
  <si>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</si>
  <si>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</si>
  <si>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</si>
  <si>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</si>
  <si>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</si>
  <si>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</si>
  <si>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</si>
  <si>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</si>
  <si>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</si>
  <si>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</si>
  <si>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</si>
  <si>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</si>
  <si>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</si>
  <si>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</si>
  <si>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</si>
  <si>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</si>
  <si>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</si>
  <si>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</si>
  <si>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</si>
  <si>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</si>
  <si>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</si>
  <si>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</si>
  <si>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</si>
  <si>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</si>
  <si>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</si>
  <si>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</si>
  <si>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</si>
  <si>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</si>
  <si>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</si>
  <si>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</si>
  <si>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</si>
  <si>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</si>
  <si>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</si>
  <si>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</si>
  <si>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</si>
  <si>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</si>
  <si>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</si>
  <si>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</si>
  <si>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</si>
  <si>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</si>
  <si>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</si>
  <si>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</si>
  <si>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</si>
  <si>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</si>
  <si>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</si>
  <si>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</si>
  <si>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</si>
  <si>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</si>
  <si>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</si>
  <si>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</si>
  <si>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</si>
  <si>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</si>
  <si>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</si>
  <si>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</si>
  <si>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</si>
  <si>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</si>
  <si>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</si>
  <si>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</si>
  <si>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</si>
  <si>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</si>
  <si>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</si>
  <si>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</si>
  <si>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</si>
  <si>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</si>
  <si>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</si>
  <si>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</si>
  <si>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</si>
  <si>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</si>
  <si>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</si>
  <si>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</si>
  <si>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</si>
  <si>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</si>
  <si>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</si>
  <si>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</si>
  <si>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</si>
  <si>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</si>
  <si>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</si>
  <si>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</si>
  <si>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</si>
  <si>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</si>
  <si>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</si>
  <si>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</si>
  <si>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</si>
  <si>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</si>
  <si>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</si>
  <si>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</si>
  <si>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</si>
  <si>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</si>
  <si>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</si>
  <si>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</si>
  <si>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</si>
  <si>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</si>
  <si>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</si>
  <si>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</si>
  <si>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</si>
  <si>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</si>
  <si>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</si>
  <si>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</si>
  <si>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</si>
  <si>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</si>
  <si>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</si>
  <si>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</si>
  <si>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</si>
  <si>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</si>
  <si>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</si>
  <si>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</si>
  <si>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</si>
  <si>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</si>
  <si>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</si>
  <si>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</si>
  <si>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</si>
  <si>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</si>
  <si>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</si>
  <si>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</si>
  <si>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</si>
  <si>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</si>
  <si>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</si>
  <si>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</si>
  <si>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</si>
  <si>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</si>
  <si>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</si>
  <si>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</si>
  <si>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</si>
  <si>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</si>
  <si>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</si>
  <si>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</si>
  <si>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</si>
  <si>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</si>
  <si>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</si>
  <si>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</si>
  <si>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</si>
  <si>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</si>
  <si>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</si>
  <si>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</si>
  <si>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</si>
  <si>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</si>
  <si>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</si>
  <si>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</si>
  <si>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</si>
  <si>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</si>
  <si>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</si>
  <si>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</si>
  <si>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</si>
  <si>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</si>
  <si>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</si>
  <si>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</si>
  <si>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</si>
  <si>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</si>
  <si>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</si>
  <si>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</si>
  <si>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</si>
  <si>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</si>
  <si>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</si>
  <si>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</si>
  <si>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</si>
  <si>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</si>
  <si>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</si>
  <si>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</si>
  <si>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</si>
  <si>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</si>
  <si>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</si>
  <si>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</si>
  <si>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</si>
  <si>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</si>
  <si>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</si>
  <si>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</si>
  <si>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</si>
  <si>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</si>
  <si>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</si>
  <si>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</si>
  <si>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</si>
  <si>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</si>
  <si>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</si>
  <si>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</si>
  <si>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</si>
  <si>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</si>
  <si>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</si>
  <si>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</si>
  <si>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</si>
  <si>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</si>
  <si>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</si>
  <si>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</si>
  <si>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</si>
  <si>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</si>
  <si>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</si>
  <si>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</si>
  <si>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</si>
  <si>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</si>
  <si>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</si>
  <si>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</si>
  <si>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</si>
  <si>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</si>
  <si>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</si>
  <si>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</si>
  <si>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</si>
  <si>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</si>
  <si>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</si>
  <si>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</si>
  <si>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</si>
  <si>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</si>
  <si>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</si>
  <si>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</si>
  <si>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</si>
  <si>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</si>
  <si>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</si>
  <si>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</si>
  <si>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</si>
  <si>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</si>
  <si>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</si>
  <si>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</si>
  <si>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</si>
  <si>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</si>
  <si>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</si>
  <si>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</si>
  <si>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</si>
  <si>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</si>
  <si>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</si>
  <si>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</si>
  <si>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</si>
  <si>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</si>
  <si>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</si>
  <si>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</si>
  <si>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</si>
  <si>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</si>
  <si>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</si>
  <si>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</si>
  <si>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</si>
  <si>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</si>
  <si>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</si>
  <si>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</si>
  <si>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</si>
  <si>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</si>
  <si>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</si>
  <si>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</si>
  <si>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</si>
  <si>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</si>
  <si>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</si>
  <si>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</si>
  <si>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</si>
  <si>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</si>
  <si>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</si>
  <si>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</si>
  <si>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</si>
  <si>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</si>
  <si>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</si>
  <si>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</si>
  <si>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</si>
  <si>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</si>
  <si>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</si>
  <si>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</si>
  <si>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</si>
  <si>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</si>
  <si>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</si>
  <si>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</si>
  <si>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</si>
  <si>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</si>
  <si>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</si>
  <si>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</si>
  <si>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</si>
  <si>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</si>
  <si>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</si>
  <si>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</si>
  <si>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</si>
  <si>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</si>
  <si>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</si>
  <si>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</si>
  <si>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</si>
  <si>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</si>
  <si>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</si>
  <si>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</si>
  <si>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</si>
  <si>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</si>
  <si>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</si>
  <si>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</si>
  <si>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</si>
  <si>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</si>
  <si>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</si>
  <si>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</si>
  <si>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</si>
  <si>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</si>
  <si>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</si>
  <si>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</si>
  <si>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</si>
  <si>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</si>
  <si>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</si>
  <si>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</si>
  <si>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</si>
  <si>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</si>
  <si>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</si>
  <si>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</si>
  <si>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</si>
  <si>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</si>
  <si>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</si>
  <si>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</si>
  <si>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</si>
  <si>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</si>
  <si>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</si>
  <si>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</si>
  <si>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</si>
  <si>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</si>
  <si>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</si>
  <si>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</si>
  <si>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</si>
  <si>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</si>
  <si>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</si>
  <si>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</si>
  <si>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</si>
  <si>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</si>
  <si>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</si>
  <si>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</si>
  <si>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</si>
  <si>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</si>
  <si>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</si>
  <si>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</si>
  <si>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</si>
  <si>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</si>
  <si>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</si>
  <si>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</si>
  <si>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</si>
  <si>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</si>
  <si>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</si>
  <si>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</si>
  <si>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</si>
  <si>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</si>
  <si>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</si>
  <si>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</si>
  <si>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</si>
  <si>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</si>
  <si>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</si>
  <si>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</si>
  <si>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</si>
  <si>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</si>
  <si>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</si>
  <si>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</si>
  <si>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</si>
  <si>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</si>
  <si>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</si>
  <si>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</si>
  <si>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</si>
  <si>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</si>
  <si>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</si>
  <si>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</si>
  <si>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</si>
  <si>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</si>
  <si>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</si>
  <si>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</si>
  <si>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</si>
  <si>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</si>
  <si>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</si>
  <si>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</si>
  <si>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</si>
  <si>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</si>
  <si>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</si>
  <si>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</si>
  <si>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</si>
  <si>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</si>
  <si>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</si>
  <si>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</si>
  <si>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</si>
  <si>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</si>
  <si>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</si>
  <si>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</si>
  <si>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</si>
  <si>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</si>
  <si>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</si>
  <si>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</si>
  <si>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</si>
  <si>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</si>
  <si>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</si>
  <si>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</si>
  <si>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</si>
  <si>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</si>
  <si>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</si>
  <si>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</si>
  <si>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</si>
  <si>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</si>
  <si>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</si>
  <si>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</si>
  <si>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</si>
  <si>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</si>
  <si>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</si>
  <si>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</si>
  <si>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</si>
  <si>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</si>
  <si>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</si>
  <si>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</si>
  <si>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</si>
  <si>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</si>
  <si>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</si>
  <si>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</si>
  <si>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</si>
  <si>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</si>
  <si>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</si>
  <si>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</si>
  <si>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</si>
  <si>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</si>
  <si>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</si>
  <si>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</si>
  <si>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</si>
  <si>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</si>
  <si>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</si>
  <si>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</si>
  <si>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</si>
  <si>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</si>
  <si>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</si>
  <si>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</si>
  <si>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</si>
  <si>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</si>
  <si>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</si>
  <si>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</si>
  <si>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</si>
  <si>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</si>
  <si>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</si>
  <si>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</si>
  <si>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</si>
  <si>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</si>
  <si>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</si>
  <si>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</si>
  <si>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</si>
  <si>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</si>
  <si>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</si>
  <si>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</si>
  <si>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</si>
  <si>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</si>
  <si>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</si>
  <si>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</si>
  <si>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</si>
  <si>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</si>
  <si>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</si>
  <si>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</si>
  <si>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</si>
  <si>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</si>
  <si>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</si>
  <si>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</si>
  <si>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</si>
  <si>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</si>
  <si>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</si>
  <si>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</si>
  <si>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</si>
  <si>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</si>
  <si>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</si>
  <si>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</si>
  <si>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</si>
  <si>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</si>
  <si>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</si>
  <si>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</si>
  <si>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</si>
  <si>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</si>
  <si>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</si>
  <si>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</si>
  <si>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</si>
  <si>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</si>
  <si>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</si>
  <si>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</si>
  <si>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</si>
  <si>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</si>
  <si>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</si>
  <si>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</si>
  <si>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</si>
  <si>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</si>
  <si>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</si>
  <si>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</si>
  <si>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</si>
  <si>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</si>
  <si>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</si>
  <si>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</si>
  <si>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</si>
  <si>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</si>
  <si>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</si>
  <si>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</si>
  <si>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</si>
  <si>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</si>
  <si>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</si>
  <si>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</si>
  <si>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</si>
  <si>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</si>
  <si>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</si>
  <si>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</si>
  <si>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</si>
  <si>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</si>
  <si>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</si>
  <si>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</si>
  <si>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</si>
  <si>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</si>
  <si>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</si>
  <si>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</si>
  <si>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</si>
  <si>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</si>
  <si>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</si>
  <si>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</si>
  <si>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</si>
  <si>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</si>
  <si>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</si>
  <si>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</si>
  <si>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</si>
  <si>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</si>
  <si>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</si>
  <si>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</si>
  <si>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</si>
  <si>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</si>
  <si>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</si>
  <si>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</si>
  <si>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</si>
  <si>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</si>
  <si>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</si>
  <si>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</si>
  <si>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</si>
  <si>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</si>
  <si>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</si>
  <si>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</si>
  <si>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</si>
  <si>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</si>
  <si>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</si>
  <si>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</si>
  <si>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</si>
  <si>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</si>
  <si>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</si>
  <si>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</si>
  <si>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</si>
  <si>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</si>
  <si>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</si>
  <si>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</si>
  <si>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</si>
  <si>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</si>
  <si>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</si>
  <si>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</si>
  <si>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</si>
  <si>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</si>
  <si>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</si>
  <si>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</si>
  <si>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</si>
  <si>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</si>
  <si>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</si>
  <si>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</si>
  <si>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</si>
  <si>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</si>
  <si>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</si>
  <si>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</si>
  <si>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</si>
  <si>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</si>
  <si>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</si>
  <si>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</si>
  <si>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</si>
  <si>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</si>
  <si>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</si>
  <si>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</si>
  <si>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</si>
  <si>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</si>
  <si>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</si>
  <si>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</si>
  <si>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</si>
  <si>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</si>
  <si>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</si>
  <si>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</si>
  <si>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</si>
  <si>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</si>
  <si>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</si>
  <si>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</si>
  <si>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</si>
  <si>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</si>
  <si>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</si>
  <si>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</si>
  <si>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</si>
  <si>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</si>
  <si>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</si>
  <si>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</si>
  <si>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</si>
  <si>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</si>
  <si>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</si>
  <si>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</si>
  <si>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</si>
  <si>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</si>
  <si>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</si>
  <si>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</si>
  <si>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</si>
  <si>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</si>
  <si>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</si>
  <si>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</si>
  <si>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</si>
  <si>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</si>
  <si>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</si>
  <si>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</si>
  <si>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</si>
  <si>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</si>
  <si>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</si>
  <si>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</si>
  <si>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</si>
  <si>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</si>
  <si>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</si>
  <si>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</si>
  <si>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</si>
  <si>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</si>
  <si>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</si>
  <si>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</si>
  <si>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</si>
  <si>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</si>
  <si>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</si>
  <si>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</si>
  <si>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</si>
  <si>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</si>
  <si>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</si>
  <si>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</si>
  <si>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</si>
  <si>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</si>
  <si>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</si>
  <si>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</si>
  <si>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</si>
  <si>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</si>
  <si>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</si>
  <si>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</si>
  <si>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</si>
  <si>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</si>
  <si>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</si>
  <si>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</si>
  <si>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</si>
  <si>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</si>
  <si>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</si>
  <si>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</si>
  <si>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</si>
  <si>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</si>
  <si>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</si>
  <si>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</si>
  <si>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</si>
  <si>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</si>
  <si>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</si>
  <si>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</si>
  <si>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</si>
  <si>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</si>
  <si>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</si>
  <si>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</si>
  <si>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</si>
  <si>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</si>
  <si>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</si>
  <si>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</si>
  <si>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</si>
  <si>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</si>
  <si>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</si>
  <si>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</si>
  <si>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</si>
  <si>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</si>
  <si>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</si>
  <si>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</si>
  <si>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</si>
  <si>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</si>
  <si>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</si>
  <si>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</si>
  <si>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</si>
  <si>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</si>
  <si>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</si>
  <si>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</si>
  <si>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</si>
  <si>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</si>
  <si>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</si>
  <si>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</si>
  <si>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</si>
  <si>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</si>
  <si>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</si>
  <si>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</si>
  <si>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</si>
  <si>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</si>
  <si>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</si>
  <si>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</si>
  <si>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</si>
  <si>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</si>
  <si>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</si>
  <si>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</si>
  <si>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</si>
  <si>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</si>
  <si>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</si>
  <si>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</si>
  <si>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</si>
  <si>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</si>
  <si>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</si>
  <si>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</si>
  <si>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</si>
  <si>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</si>
  <si>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</si>
  <si>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</si>
  <si>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</si>
  <si>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</si>
  <si>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</si>
  <si>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</si>
  <si>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</si>
  <si>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</si>
  <si>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</si>
  <si>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</si>
  <si>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</si>
  <si>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</si>
  <si>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</si>
  <si>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</si>
  <si>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</si>
  <si>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</si>
  <si>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</si>
  <si>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</si>
  <si>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</si>
  <si>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</si>
  <si>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</si>
  <si>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</si>
  <si>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</si>
  <si>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</si>
  <si>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</si>
  <si>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</si>
  <si>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</si>
  <si>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</si>
  <si>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</si>
  <si>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</si>
  <si>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</si>
  <si>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</si>
  <si>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</si>
  <si>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</si>
  <si>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</si>
  <si>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</si>
  <si>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</si>
  <si>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</si>
  <si>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</si>
  <si>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</si>
  <si>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</si>
  <si>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</si>
  <si>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</si>
  <si>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</si>
  <si>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</si>
  <si>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</si>
  <si>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</si>
  <si>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</si>
  <si>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</si>
  <si>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</si>
  <si>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</si>
  <si>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</si>
  <si>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</si>
  <si>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</si>
  <si>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</si>
  <si>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</si>
  <si>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</si>
  <si>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</si>
  <si>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</si>
  <si>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</si>
  <si>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</si>
  <si>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</si>
  <si>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</si>
  <si>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</si>
  <si>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</si>
  <si>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</si>
  <si>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</si>
  <si>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</si>
  <si>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</si>
  <si>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</si>
  <si>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</si>
  <si>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</si>
  <si>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</si>
  <si>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</si>
  <si>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</si>
  <si>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</si>
  <si>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</si>
  <si>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</si>
  <si>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</si>
  <si>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</si>
  <si>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</si>
  <si>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</si>
  <si>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</si>
  <si>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</si>
  <si>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</si>
  <si>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</si>
  <si>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</si>
  <si>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</si>
  <si>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</si>
  <si>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</si>
  <si>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</si>
  <si>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</si>
  <si>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</si>
  <si>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</si>
  <si>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</si>
  <si>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</si>
  <si>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</si>
  <si>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</si>
  <si>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</si>
  <si>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</si>
  <si>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</si>
  <si>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</si>
  <si>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</si>
  <si>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</si>
  <si>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</si>
  <si>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</si>
  <si>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</si>
  <si>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</si>
  <si>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</si>
  <si>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</si>
  <si>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</si>
  <si>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</si>
  <si>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</si>
  <si>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</si>
  <si>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</si>
  <si>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</si>
  <si>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</si>
  <si>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</si>
  <si>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</si>
  <si>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</si>
  <si>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</si>
  <si>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</si>
  <si>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</si>
  <si>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</si>
  <si>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</si>
  <si>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</si>
  <si>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</si>
  <si>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</si>
  <si>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</si>
  <si>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</si>
  <si>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</si>
  <si>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</si>
  <si>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</si>
  <si>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</si>
  <si>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</si>
  <si>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</si>
  <si>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</si>
  <si>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</si>
  <si>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</si>
  <si>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</si>
  <si>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</si>
  <si>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</si>
  <si>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</si>
  <si>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</si>
  <si>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</si>
  <si>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</si>
  <si>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</si>
  <si>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</si>
  <si>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</si>
  <si>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</si>
  <si>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</si>
  <si>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</si>
  <si>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</si>
  <si>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</si>
  <si>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</si>
  <si>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</si>
  <si>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</si>
  <si>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</si>
  <si>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</si>
  <si>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</si>
  <si>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</si>
  <si>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</si>
  <si>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</si>
  <si>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</si>
  <si>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</si>
  <si>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</si>
  <si>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</si>
  <si>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</si>
  <si>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</si>
  <si>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</si>
  <si>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</si>
  <si>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</si>
  <si>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</si>
  <si>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</si>
  <si>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</si>
  <si>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</si>
  <si>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</si>
  <si>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</si>
  <si>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</si>
  <si>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</si>
  <si>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</si>
  <si>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</si>
  <si>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</si>
  <si>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</si>
  <si>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</si>
  <si>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</si>
  <si>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</si>
  <si>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</si>
  <si>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</si>
  <si>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</si>
  <si>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</si>
  <si>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</si>
  <si>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</si>
  <si>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</si>
  <si>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</si>
  <si>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</si>
  <si>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</si>
  <si>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</si>
  <si>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</si>
  <si>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</si>
  <si>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</si>
  <si>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</si>
  <si>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</si>
  <si>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</si>
  <si>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</si>
  <si>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</si>
  <si>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</si>
  <si>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</si>
  <si>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</si>
  <si>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</si>
  <si>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</si>
  <si>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</si>
  <si>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</si>
  <si>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</si>
  <si>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</si>
  <si>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</si>
  <si>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</si>
  <si>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</si>
  <si>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</si>
  <si>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</si>
  <si>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</si>
  <si>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</si>
  <si>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</si>
  <si>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</si>
  <si>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</si>
  <si>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</si>
  <si>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</si>
  <si>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</si>
  <si>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</si>
  <si>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</si>
  <si>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</si>
  <si>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</si>
  <si>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</si>
  <si>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</si>
  <si>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</si>
  <si>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</si>
  <si>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</si>
  <si>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</si>
  <si>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</si>
  <si>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</si>
  <si>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</si>
  <si>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</si>
  <si>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</si>
  <si>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</si>
  <si>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</si>
  <si>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</si>
  <si>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</si>
  <si>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</si>
  <si>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</si>
  <si>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</si>
  <si>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</si>
  <si>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</si>
  <si>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</si>
  <si>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</si>
  <si>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</si>
  <si>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</si>
  <si>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</si>
  <si>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</si>
  <si>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</si>
  <si>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</si>
  <si>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</si>
  <si>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</si>
  <si>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</si>
  <si>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</si>
  <si>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</si>
  <si>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</si>
  <si>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</si>
  <si>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</si>
  <si>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</si>
  <si>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</si>
  <si>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</si>
  <si>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</si>
  <si>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</si>
  <si>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</si>
  <si>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</si>
  <si>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</si>
  <si>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</si>
  <si>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</si>
  <si>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</si>
  <si>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</si>
  <si>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</si>
  <si>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</si>
  <si>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</si>
  <si>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</si>
  <si>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</si>
  <si>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</si>
  <si>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</si>
  <si>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</si>
  <si>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</si>
  <si>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</si>
  <si>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</si>
  <si>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</si>
  <si>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</si>
  <si>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</si>
  <si>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</si>
  <si>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</si>
  <si>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</si>
  <si>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</si>
  <si>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</si>
  <si>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</si>
  <si>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</si>
  <si>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</si>
  <si>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</si>
  <si>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</si>
  <si>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</si>
  <si>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</si>
  <si>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</si>
  <si>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</si>
  <si>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</si>
  <si>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</si>
  <si>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</si>
  <si>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</si>
  <si>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</si>
  <si>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</si>
  <si>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</si>
  <si>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</si>
  <si>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</si>
  <si>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</si>
  <si>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</si>
  <si>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</si>
  <si>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</si>
  <si>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</si>
  <si>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</si>
  <si>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</si>
  <si>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</si>
  <si>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</si>
  <si>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</si>
  <si>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</si>
  <si>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</si>
  <si>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</si>
  <si>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</si>
  <si>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</si>
  <si>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</si>
  <si>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</si>
  <si>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</si>
  <si>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</si>
  <si>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</si>
  <si>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</si>
  <si>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</si>
  <si>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</si>
  <si>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</si>
  <si>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</si>
  <si>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</si>
  <si>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</si>
  <si>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</si>
  <si>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</si>
  <si>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</si>
  <si>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</si>
  <si>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</si>
  <si>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</si>
  <si>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</si>
  <si>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</si>
  <si>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</si>
  <si>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</si>
  <si>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</si>
  <si>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</si>
  <si>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</si>
  <si>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</si>
  <si>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</si>
  <si>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</si>
  <si>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</si>
  <si>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</si>
  <si>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</si>
  <si>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</si>
  <si>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</si>
  <si>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</si>
  <si>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</si>
  <si>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</si>
  <si>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</si>
  <si>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</si>
  <si>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</si>
  <si>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</si>
  <si>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</si>
  <si>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</si>
  <si>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</si>
  <si>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</si>
  <si>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</si>
  <si>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</si>
  <si>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</si>
  <si>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</si>
  <si>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</si>
  <si>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</si>
  <si>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</si>
  <si>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</si>
  <si>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</si>
  <si>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</si>
  <si>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</si>
  <si>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</si>
  <si>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</si>
  <si>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</si>
  <si>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</si>
  <si>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</si>
  <si>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</si>
  <si>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</si>
  <si>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</si>
  <si>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</si>
  <si>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</si>
  <si>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</si>
  <si>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</si>
  <si>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</si>
  <si>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</si>
  <si>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</si>
  <si>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</si>
  <si>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</si>
  <si>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</si>
  <si>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</si>
  <si>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</si>
  <si>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</si>
  <si>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</si>
  <si>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</si>
  <si>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</si>
  <si>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</si>
  <si>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</si>
  <si>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</si>
  <si>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</si>
  <si>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</si>
  <si>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</si>
  <si>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</si>
  <si>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</si>
  <si>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</si>
  <si>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</si>
  <si>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</si>
  <si>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</si>
  <si>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</si>
  <si>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</si>
  <si>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</si>
  <si>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</si>
  <si>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</si>
  <si>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</si>
  <si>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</si>
  <si>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</si>
  <si>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</si>
  <si>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</si>
  <si>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</si>
  <si>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</si>
  <si>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</si>
  <si>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</si>
  <si>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</si>
  <si>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</si>
  <si>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</si>
  <si>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</si>
  <si>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</si>
  <si>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</si>
  <si>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</si>
  <si>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</si>
  <si>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</si>
  <si>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</si>
  <si>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</si>
  <si>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</si>
  <si>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</si>
  <si>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</si>
  <si>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</si>
  <si>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</si>
  <si>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</si>
  <si>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</si>
  <si>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</si>
  <si>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</si>
  <si>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</si>
  <si>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</si>
  <si>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</si>
  <si>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</si>
  <si>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</si>
  <si>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</si>
  <si>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</si>
  <si>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</si>
  <si>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</si>
  <si>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</si>
  <si>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</si>
  <si>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</si>
  <si>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</si>
  <si>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</si>
  <si>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</si>
  <si>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</si>
  <si>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</si>
  <si>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</si>
  <si>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</si>
  <si>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</si>
  <si>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</si>
  <si>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</si>
  <si>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</si>
  <si>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</si>
  <si>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</si>
  <si>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</si>
  <si>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</si>
  <si>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</si>
  <si>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</si>
  <si>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</si>
  <si>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</si>
  <si>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</si>
  <si>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</si>
  <si>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</si>
  <si>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</si>
  <si>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</si>
  <si>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</si>
  <si>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</si>
  <si>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</si>
  <si>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</si>
  <si>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</si>
  <si>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</si>
  <si>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</si>
  <si>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</si>
  <si>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</si>
  <si>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</si>
  <si>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</si>
  <si>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</si>
  <si>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</si>
  <si>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</si>
  <si>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</si>
  <si>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</si>
  <si>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</si>
  <si>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</si>
  <si>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</si>
  <si>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</si>
  <si>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</si>
  <si>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</si>
  <si>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</si>
  <si>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</si>
  <si>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</si>
  <si>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</si>
  <si>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</si>
  <si>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</si>
  <si>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</si>
  <si>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</si>
  <si>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</si>
  <si>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</si>
  <si>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</si>
  <si>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</si>
  <si>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</si>
  <si>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</si>
  <si>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</si>
  <si>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</si>
  <si>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</si>
  <si>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</si>
  <si>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</si>
  <si>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</si>
  <si>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</si>
  <si>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</si>
  <si>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</si>
  <si>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</si>
  <si>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</si>
  <si>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</si>
  <si>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</si>
  <si>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</si>
  <si>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</si>
  <si>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</si>
  <si>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</si>
  <si>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</si>
  <si>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</si>
  <si>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</si>
  <si>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</si>
  <si>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</si>
  <si>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</si>
  <si>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</si>
  <si>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</si>
  <si>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</si>
  <si>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</si>
  <si>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</si>
  <si>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</si>
  <si>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</si>
  <si>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</si>
  <si>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</si>
  <si>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</si>
  <si>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</si>
  <si>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</si>
  <si>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</si>
  <si>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</si>
  <si>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</si>
  <si>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</si>
  <si>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</si>
  <si>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</si>
  <si>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</si>
  <si>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</si>
  <si>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</si>
  <si>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</si>
  <si>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</si>
  <si>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</si>
  <si>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</si>
  <si>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</si>
  <si>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</si>
  <si>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</si>
  <si>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</si>
  <si>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</si>
  <si>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</si>
  <si>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</si>
  <si>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</si>
  <si>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</si>
  <si>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</si>
  <si>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</si>
  <si>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</si>
  <si>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</si>
  <si>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</si>
  <si>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</si>
  <si>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</si>
  <si>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</si>
  <si>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</si>
  <si>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</si>
  <si>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</si>
  <si>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</si>
  <si>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</si>
  <si>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</si>
  <si>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</si>
  <si>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</si>
  <si>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</si>
  <si>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</si>
  <si>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</si>
  <si>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</si>
  <si>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</si>
  <si>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</si>
  <si>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</si>
  <si>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</si>
  <si>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</si>
  <si>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</si>
  <si>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</si>
  <si>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</si>
  <si>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</si>
  <si>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</si>
  <si>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</si>
  <si>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</si>
  <si>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</si>
  <si>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</si>
  <si>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</si>
  <si>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</si>
  <si>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</si>
  <si>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</si>
  <si>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</si>
  <si>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</si>
  <si>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</si>
  <si>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</si>
  <si>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</si>
  <si>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</si>
  <si>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</si>
  <si>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</si>
  <si>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</si>
  <si>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</si>
  <si>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</si>
  <si>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</si>
  <si>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</si>
  <si>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</si>
  <si>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</si>
  <si>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</si>
  <si>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</si>
  <si>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</si>
  <si>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</si>
  <si>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</si>
  <si>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</si>
  <si>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</si>
  <si>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</si>
  <si>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</si>
  <si>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</si>
  <si>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</si>
  <si>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</si>
  <si>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</si>
  <si>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</si>
  <si>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</si>
  <si>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</si>
  <si>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</si>
  <si>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</si>
  <si>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</si>
  <si>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</si>
  <si>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</si>
  <si>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</si>
  <si>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</si>
  <si>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</si>
  <si>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</si>
  <si>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</si>
  <si>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</si>
  <si>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</si>
  <si>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</si>
  <si>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</si>
  <si>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</si>
  <si>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</si>
  <si>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</si>
  <si>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</si>
  <si>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</si>
  <si>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</si>
  <si>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</si>
  <si>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</si>
  <si>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</si>
  <si>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</si>
  <si>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</si>
  <si>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</si>
  <si>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</si>
  <si>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</si>
  <si>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</si>
  <si>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</si>
  <si>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</si>
  <si>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</si>
  <si>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</si>
  <si>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</si>
  <si>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</si>
  <si>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</si>
  <si>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</si>
  <si>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</si>
  <si>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</si>
  <si>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</si>
  <si>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</si>
  <si>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</si>
  <si>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</si>
  <si>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</si>
  <si>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</si>
  <si>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</si>
  <si>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</si>
  <si>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</si>
  <si>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</si>
  <si>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</si>
  <si>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</si>
  <si>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</si>
  <si>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</si>
  <si>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</si>
  <si>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</si>
  <si>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</si>
  <si>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</si>
  <si>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</si>
  <si>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</si>
  <si>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</si>
  <si>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</si>
  <si>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</si>
  <si>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</si>
  <si>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</si>
  <si>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</si>
  <si>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</si>
  <si>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</si>
  <si>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</si>
  <si>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</si>
  <si>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</si>
  <si>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</si>
  <si>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</si>
  <si>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</si>
  <si>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</si>
  <si>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</si>
  <si>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</si>
  <si>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</si>
  <si>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</si>
  <si>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</si>
  <si>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</si>
  <si>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</si>
  <si>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</si>
  <si>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</si>
  <si>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</si>
  <si>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</si>
  <si>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</si>
  <si>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</si>
  <si>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</si>
  <si>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</si>
  <si>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</si>
  <si>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</si>
  <si>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</si>
  <si>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</si>
  <si>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</si>
  <si>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</si>
  <si>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</si>
  <si>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</si>
  <si>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</si>
  <si>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</si>
  <si>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</si>
  <si>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</si>
  <si>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</si>
  <si>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</si>
  <si>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</si>
  <si>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</si>
  <si>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</si>
  <si>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</si>
  <si>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</si>
  <si>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</si>
  <si>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</si>
  <si>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</si>
  <si>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</si>
  <si>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</si>
  <si>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</si>
  <si>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</si>
  <si>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</si>
  <si>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</si>
  <si>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</si>
  <si>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</si>
  <si>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</si>
  <si>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</si>
  <si>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</si>
  <si>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</si>
  <si>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</si>
  <si>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</si>
  <si>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</si>
  <si>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</si>
  <si>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</si>
  <si>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</si>
  <si>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</si>
  <si>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</si>
  <si>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</si>
  <si>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</si>
  <si>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</si>
  <si>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</si>
  <si>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</si>
  <si>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</si>
  <si>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</si>
  <si>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</si>
  <si>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</si>
  <si>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</si>
  <si>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</si>
  <si>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</si>
  <si>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</si>
  <si>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</si>
  <si>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</si>
  <si>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</si>
  <si>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</si>
  <si>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</si>
  <si>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</si>
  <si>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</si>
  <si>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</si>
  <si>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</si>
  <si>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</si>
  <si>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</si>
  <si>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</si>
  <si>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</si>
  <si>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</si>
  <si>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</si>
  <si>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</si>
  <si>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</si>
  <si>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</si>
  <si>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</si>
  <si>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</si>
  <si>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</si>
  <si>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</si>
  <si>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</si>
  <si>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</si>
  <si>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</si>
  <si>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</si>
  <si>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</si>
  <si>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</si>
  <si>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</si>
  <si>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</si>
  <si>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</si>
  <si>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</si>
  <si>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</si>
  <si>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</si>
  <si>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</si>
  <si>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</si>
  <si>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</si>
  <si>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</si>
  <si>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</si>
  <si>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</si>
  <si>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</si>
  <si>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</si>
  <si>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</si>
  <si>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</si>
  <si>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</si>
  <si>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</si>
  <si>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</si>
  <si>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</si>
  <si>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</si>
  <si>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</si>
  <si>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</si>
  <si>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</si>
  <si>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</si>
  <si>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</si>
  <si>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</si>
  <si>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</si>
  <si>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</si>
  <si>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</si>
  <si>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</si>
  <si>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</si>
  <si>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</si>
  <si>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</si>
  <si>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</si>
  <si>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</si>
  <si>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</si>
  <si>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</si>
  <si>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</si>
  <si>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</si>
  <si>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</si>
  <si>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</si>
  <si>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</si>
  <si>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</si>
  <si>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</si>
  <si>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</si>
  <si>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</si>
  <si>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</si>
  <si>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</si>
  <si>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</si>
  <si>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</si>
  <si>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</si>
  <si>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</si>
  <si>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</si>
  <si>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</si>
  <si>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</si>
  <si>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</si>
  <si>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</si>
  <si>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</si>
  <si>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</si>
  <si>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</si>
  <si>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</si>
  <si>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</si>
  <si>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</si>
  <si>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</si>
  <si>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</si>
  <si>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</si>
  <si>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</si>
  <si>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</si>
  <si>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</si>
  <si>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</si>
  <si>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</si>
  <si>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</si>
  <si>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</si>
  <si>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</si>
  <si>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</si>
  <si>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</si>
  <si>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</si>
  <si>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</si>
  <si>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</si>
  <si>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</si>
  <si>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</si>
  <si>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</si>
  <si>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</si>
  <si>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</si>
  <si>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</si>
  <si>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</si>
  <si>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</si>
  <si>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</si>
  <si>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</si>
  <si>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</si>
  <si>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</si>
  <si>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</si>
  <si>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</si>
  <si>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</si>
  <si>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</si>
  <si>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</si>
  <si>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</si>
  <si>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</si>
  <si>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</si>
  <si>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</si>
  <si>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</si>
  <si>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</si>
  <si>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</si>
  <si>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</si>
  <si>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</si>
  <si>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</si>
  <si>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</si>
  <si>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</si>
  <si>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</si>
  <si>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</si>
  <si>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</si>
  <si>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</si>
  <si>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</si>
  <si>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</si>
  <si>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</si>
  <si>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</si>
  <si>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</si>
  <si>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</si>
  <si>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</si>
  <si>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</si>
  <si>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</si>
  <si>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</si>
  <si>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</si>
  <si>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</si>
  <si>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</si>
  <si>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</si>
  <si>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</si>
  <si>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</si>
  <si>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</si>
  <si>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</si>
  <si>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</si>
  <si>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</si>
  <si>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</si>
  <si>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</si>
  <si>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</si>
  <si>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</si>
  <si>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</si>
  <si>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</si>
  <si>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</si>
  <si>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</si>
  <si>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</si>
  <si>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</si>
  <si>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</si>
  <si>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</si>
  <si>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</si>
  <si>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</si>
  <si>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</si>
  <si>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</si>
  <si>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</si>
  <si>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</si>
  <si>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</si>
  <si>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</si>
  <si>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</si>
  <si>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</si>
  <si>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</si>
  <si>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</si>
  <si>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</si>
  <si>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</si>
  <si>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</si>
  <si>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</si>
  <si>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</si>
  <si>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</si>
  <si>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</si>
  <si>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</si>
  <si>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</si>
  <si>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</si>
  <si>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</si>
  <si>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</si>
  <si>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</si>
  <si>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</si>
  <si>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</si>
  <si>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</si>
  <si>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</si>
  <si>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</si>
  <si>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</si>
  <si>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</si>
  <si>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</si>
  <si>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</si>
  <si>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</si>
  <si>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</si>
  <si>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</si>
  <si>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</si>
  <si>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</si>
  <si>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</si>
  <si>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</si>
  <si>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</si>
  <si>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</si>
  <si>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</si>
  <si>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</si>
  <si>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</si>
  <si>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</si>
  <si>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</si>
  <si>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</si>
  <si>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</si>
  <si>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</si>
  <si>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</si>
  <si>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</si>
  <si>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</si>
  <si>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</si>
  <si>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</si>
  <si>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</si>
  <si>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</si>
  <si>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</si>
  <si>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</si>
  <si>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</si>
  <si>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</si>
  <si>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</si>
  <si>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</si>
  <si>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</si>
  <si>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</si>
  <si>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</si>
  <si>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</si>
  <si>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</si>
  <si>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</si>
  <si>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</si>
  <si>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</si>
  <si>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</si>
  <si>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</si>
  <si>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</si>
  <si>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</si>
  <si>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</si>
  <si>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</si>
  <si>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</si>
  <si>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</si>
  <si>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</si>
  <si>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</si>
  <si>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</si>
  <si>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</si>
  <si>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</si>
  <si>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</si>
  <si>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</si>
  <si>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</si>
  <si>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</si>
  <si>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</si>
  <si>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</si>
  <si>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</si>
  <si>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</si>
  <si>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</si>
  <si>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</si>
  <si>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</si>
  <si>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</si>
  <si>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</si>
  <si>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</si>
  <si>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</si>
  <si>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</si>
  <si>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</si>
  <si>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</si>
  <si>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</si>
  <si>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</si>
  <si>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</si>
  <si>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</si>
  <si>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</si>
  <si>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</si>
  <si>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</si>
  <si>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</si>
  <si>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</si>
  <si>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</si>
  <si>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</si>
  <si>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</si>
  <si>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</si>
  <si>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</si>
  <si>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</si>
  <si>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</si>
  <si>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</si>
  <si>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</si>
  <si>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</si>
  <si>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</si>
  <si>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</si>
  <si>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</si>
  <si>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</si>
  <si>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</si>
  <si>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</si>
  <si>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</si>
  <si>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</si>
  <si>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</si>
  <si>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</si>
  <si>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</si>
  <si>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</si>
  <si>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</si>
  <si>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</si>
  <si>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</si>
  <si>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</si>
  <si>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</si>
  <si>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</si>
  <si>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</si>
  <si>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</si>
  <si>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</si>
  <si>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</si>
  <si>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</si>
  <si>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</si>
  <si>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</si>
  <si>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</si>
  <si>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</si>
  <si>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</si>
  <si>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</si>
  <si>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</si>
  <si>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</si>
  <si>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</si>
  <si>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</si>
  <si>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</si>
  <si>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</si>
  <si>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</si>
  <si>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</si>
  <si>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</si>
  <si>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</si>
  <si>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</si>
  <si>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</si>
  <si>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</si>
  <si>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</si>
  <si>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</si>
  <si>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</si>
  <si>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</si>
  <si>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</si>
  <si>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</si>
  <si>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</si>
  <si>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</si>
  <si>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</si>
  <si>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</si>
  <si>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</si>
  <si>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</si>
  <si>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</si>
  <si>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</si>
  <si>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</si>
  <si>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</si>
  <si>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</si>
  <si>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</si>
  <si>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</si>
  <si>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</si>
  <si>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</si>
  <si>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</si>
  <si>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</si>
  <si>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</si>
  <si>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</si>
  <si>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</si>
  <si>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</si>
  <si>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</si>
  <si>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</si>
  <si>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</si>
  <si>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</si>
  <si>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</si>
  <si>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</si>
  <si>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</si>
  <si>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</si>
  <si>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</si>
  <si>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</si>
  <si>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</si>
  <si>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</si>
  <si>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</si>
  <si>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</si>
  <si>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</si>
  <si>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</si>
  <si>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</si>
  <si>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</si>
  <si>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</si>
  <si>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</si>
  <si>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</si>
  <si>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</si>
  <si>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</si>
  <si>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</si>
  <si>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</si>
  <si>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</si>
  <si>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</si>
  <si>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</si>
  <si>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</si>
  <si>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</si>
  <si>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</si>
  <si>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</si>
  <si>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</si>
  <si>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</si>
  <si>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</si>
  <si>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</si>
  <si>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</si>
  <si>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</si>
  <si>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</si>
  <si>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</si>
  <si>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</si>
  <si>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</si>
  <si>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</si>
  <si>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</si>
  <si>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</si>
  <si>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</si>
  <si>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</si>
  <si>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</si>
  <si>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</si>
  <si>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</si>
  <si>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</si>
  <si>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</si>
  <si>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</si>
  <si>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</si>
  <si>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</si>
  <si>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</si>
  <si>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</si>
  <si>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</si>
  <si>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</si>
  <si>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</si>
  <si>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</si>
  <si>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</si>
  <si>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</si>
  <si>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</si>
  <si>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</si>
  <si>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</si>
  <si>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</si>
  <si>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</si>
  <si>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</si>
  <si>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</si>
  <si>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</si>
  <si>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</si>
  <si>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</si>
  <si>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</si>
  <si>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</si>
  <si>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</si>
  <si>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</si>
  <si>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</si>
  <si>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</si>
  <si>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</si>
  <si>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</si>
  <si>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</si>
  <si>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</si>
  <si>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</si>
  <si>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</si>
  <si>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</si>
  <si>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</si>
  <si>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</si>
  <si>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</si>
  <si>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</si>
  <si>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</si>
  <si>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</si>
  <si>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</si>
  <si>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</si>
  <si>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</si>
  <si>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</si>
  <si>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</si>
  <si>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</si>
  <si>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</si>
  <si>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</si>
  <si>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</si>
  <si>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</si>
  <si>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</si>
  <si>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</si>
  <si>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</si>
  <si>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</si>
  <si>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</si>
  <si>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</si>
  <si>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</si>
  <si>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</si>
  <si>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</si>
  <si>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</si>
  <si>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</si>
  <si>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</si>
  <si>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</si>
  <si>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</si>
  <si>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</si>
  <si>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</si>
  <si>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</si>
  <si>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</si>
  <si>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</si>
  <si>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</si>
  <si>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</si>
  <si>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</si>
  <si>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</si>
  <si>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</si>
  <si>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</si>
  <si>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</si>
  <si>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</si>
  <si>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</si>
  <si>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</si>
  <si>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</si>
  <si>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</si>
  <si>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</si>
  <si>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</si>
  <si>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</si>
  <si>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</si>
  <si>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</si>
  <si>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</si>
  <si>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</si>
  <si>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</si>
  <si>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</si>
  <si>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</si>
  <si>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</si>
  <si>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</si>
  <si>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</si>
  <si>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</si>
  <si>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</si>
  <si>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</si>
  <si>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</si>
  <si>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</si>
  <si>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</si>
  <si>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</si>
  <si>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</si>
  <si>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</si>
  <si>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</si>
  <si>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</si>
  <si>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</si>
  <si>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</si>
  <si>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</si>
  <si>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</si>
  <si>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</si>
  <si>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</si>
  <si>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</si>
  <si>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</si>
  <si>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</si>
  <si>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</si>
  <si>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</si>
  <si>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</si>
  <si>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</si>
  <si>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</si>
  <si>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</si>
  <si>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</si>
  <si>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</si>
  <si>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</si>
  <si>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</si>
  <si>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</si>
  <si>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</si>
  <si>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</si>
  <si>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</si>
  <si>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</si>
  <si>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</si>
  <si>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</si>
  <si>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</si>
  <si>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</si>
  <si>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</si>
  <si>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</si>
  <si>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</si>
  <si>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</si>
  <si>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</si>
  <si>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</si>
  <si>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</si>
  <si>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</si>
  <si>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</si>
  <si>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</si>
  <si>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</si>
  <si>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</si>
  <si>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</si>
  <si>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</si>
  <si>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</si>
  <si>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</si>
  <si>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</si>
  <si>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</si>
  <si>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</si>
  <si>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</si>
  <si>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</si>
  <si>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</si>
  <si>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</si>
  <si>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</si>
  <si>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</si>
  <si>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</si>
  <si>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</si>
  <si>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</si>
  <si>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</si>
  <si>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</si>
  <si>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</si>
  <si>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</si>
  <si>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</si>
  <si>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</si>
  <si>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</si>
  <si>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</si>
  <si>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</si>
  <si>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</si>
  <si>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</si>
  <si>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</si>
  <si>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</si>
  <si>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</si>
  <si>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</si>
  <si>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</si>
  <si>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</si>
  <si>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</si>
  <si>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</si>
  <si>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</si>
  <si>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</si>
  <si>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</si>
  <si>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</si>
  <si>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</si>
  <si>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</si>
  <si>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</si>
  <si>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</si>
  <si>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</si>
  <si>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</si>
  <si>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</si>
  <si>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</si>
  <si>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</si>
  <si>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</si>
  <si>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</si>
  <si>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</si>
  <si>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</si>
  <si>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</si>
  <si>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</si>
  <si>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</si>
  <si>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</si>
  <si>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</si>
  <si>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</si>
  <si>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</si>
  <si>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</si>
  <si>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</si>
  <si>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</si>
  <si>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</si>
  <si>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</si>
  <si>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</si>
  <si>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</si>
  <si>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</si>
  <si>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</si>
  <si>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</si>
  <si>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</si>
  <si>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</si>
  <si>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</si>
  <si>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</si>
  <si>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</si>
  <si>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</si>
  <si>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</si>
  <si>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</si>
  <si>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</si>
  <si>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</si>
  <si>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</si>
  <si>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</si>
  <si>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</si>
  <si>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</si>
  <si>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</si>
  <si>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</si>
  <si>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</si>
  <si>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</si>
  <si>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</si>
  <si>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</si>
  <si>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</si>
  <si>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</si>
  <si>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</si>
  <si>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</si>
  <si>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</si>
  <si>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</si>
  <si>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</si>
  <si>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</si>
  <si>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</si>
  <si>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</si>
  <si>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</si>
  <si>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</si>
  <si>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</si>
  <si>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</si>
  <si>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</si>
  <si>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</si>
  <si>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</si>
  <si>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</si>
  <si>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</si>
  <si>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</si>
  <si>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</si>
  <si>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</si>
  <si>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</si>
  <si>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</si>
  <si>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</si>
  <si>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</si>
  <si>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</si>
  <si>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</si>
  <si>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</si>
  <si>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</si>
  <si>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</si>
  <si>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</si>
  <si>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</si>
  <si>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</si>
  <si>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</si>
  <si>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</si>
  <si>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</si>
  <si>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</si>
  <si>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</si>
  <si>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</si>
  <si>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</si>
  <si>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</si>
  <si>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</si>
  <si>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</si>
  <si>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</si>
  <si>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</si>
  <si>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</si>
  <si>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</si>
  <si>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</si>
  <si>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</si>
  <si>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</si>
  <si>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</si>
  <si>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</si>
  <si>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</si>
  <si>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</si>
  <si>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</si>
  <si>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</si>
  <si>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</si>
  <si>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</si>
  <si>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</si>
  <si>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</si>
  <si>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</si>
  <si>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</si>
  <si>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</si>
  <si>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</si>
  <si>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</si>
  <si>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</si>
  <si>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</si>
  <si>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</si>
  <si>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</si>
  <si>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</si>
  <si>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</si>
  <si>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</si>
  <si>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</si>
  <si>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</si>
  <si>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</si>
  <si>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</si>
  <si>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</si>
  <si>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</si>
  <si>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</si>
  <si>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</si>
  <si>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</si>
  <si>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</si>
  <si>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</si>
  <si>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</si>
  <si>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</si>
  <si>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</si>
  <si>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</si>
  <si>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</si>
  <si>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</si>
  <si>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</si>
  <si>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</si>
  <si>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</si>
  <si>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</si>
  <si>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</si>
  <si>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</si>
  <si>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</si>
  <si>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</si>
  <si>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</si>
  <si>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</si>
  <si>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</si>
  <si>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</si>
  <si>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</si>
  <si>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</si>
  <si>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</si>
  <si>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</si>
  <si>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</si>
  <si>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</si>
  <si>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</si>
  <si>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</si>
  <si>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</si>
  <si>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</si>
  <si>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</si>
  <si>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</si>
  <si>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</si>
  <si>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</si>
  <si>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</si>
  <si>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</si>
  <si>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</si>
  <si>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</si>
  <si>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</si>
  <si>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</si>
  <si>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</si>
  <si>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</si>
  <si>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</si>
  <si>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</si>
  <si>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</si>
  <si>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</si>
  <si>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</si>
  <si>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</si>
  <si>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</si>
  <si>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</si>
  <si>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</si>
  <si>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</si>
  <si>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</si>
  <si>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</si>
  <si>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</si>
  <si>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</si>
  <si>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</si>
  <si>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</si>
  <si>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</si>
  <si>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</si>
  <si>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</si>
  <si>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</si>
  <si>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</si>
  <si>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</si>
  <si>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</si>
  <si>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</si>
  <si>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</si>
  <si>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</si>
  <si>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</si>
  <si>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</si>
  <si>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</si>
  <si>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</si>
  <si>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</si>
  <si>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</si>
  <si>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</si>
  <si>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</si>
  <si>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</si>
  <si>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</si>
  <si>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</si>
  <si>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</si>
  <si>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</si>
  <si>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</si>
  <si>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</si>
  <si>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</si>
  <si>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</si>
  <si>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</si>
  <si>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</si>
  <si>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</si>
  <si>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</si>
  <si>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</si>
  <si>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</si>
  <si>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</si>
  <si>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</si>
  <si>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</si>
  <si>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</si>
  <si>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</si>
  <si>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</si>
  <si>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</si>
  <si>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</si>
  <si>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</si>
  <si>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</si>
  <si>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</si>
  <si>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</si>
  <si>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</si>
  <si>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</si>
  <si>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</si>
  <si>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</si>
  <si>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</si>
  <si>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</si>
  <si>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</si>
  <si>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</si>
  <si>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</si>
  <si>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</si>
  <si>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</si>
  <si>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</si>
  <si>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</si>
  <si>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</si>
  <si>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</si>
  <si>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</si>
  <si>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</si>
  <si>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</si>
  <si>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</si>
  <si>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</si>
  <si>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</si>
  <si>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</si>
  <si>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</si>
  <si>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</si>
  <si>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</si>
  <si>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</si>
  <si>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</si>
  <si>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</si>
  <si>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</si>
  <si>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</si>
  <si>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</si>
  <si>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</si>
  <si>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</si>
  <si>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</si>
  <si>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</si>
  <si>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</si>
  <si>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</si>
  <si>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</si>
  <si>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</si>
  <si>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</si>
  <si>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</si>
  <si>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</si>
  <si>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</si>
  <si>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</si>
  <si>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</si>
  <si>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</si>
  <si>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</si>
  <si>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</si>
  <si>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</si>
  <si>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</si>
  <si>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</si>
  <si>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</si>
  <si>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</si>
  <si>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</si>
  <si>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</si>
  <si>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</si>
  <si>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</si>
  <si>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</si>
  <si>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</si>
  <si>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</si>
  <si>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</si>
  <si>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</si>
  <si>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</si>
  <si>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</si>
  <si>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</si>
  <si>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</si>
  <si>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</si>
  <si>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</si>
  <si>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</si>
  <si>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</si>
  <si>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</si>
  <si>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</si>
  <si>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</si>
  <si>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</si>
  <si>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</si>
  <si>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</si>
  <si>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</si>
  <si>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</si>
  <si>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</si>
  <si>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</si>
  <si>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</si>
  <si>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</si>
  <si>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</si>
  <si>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</si>
  <si>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</si>
  <si>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</si>
  <si>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</si>
  <si>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</si>
  <si>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</si>
  <si>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</si>
  <si>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</si>
  <si>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</si>
  <si>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</si>
  <si>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</si>
  <si>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</si>
  <si>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</si>
  <si>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</si>
  <si>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</si>
  <si>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</si>
  <si>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</si>
  <si>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</si>
  <si>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</si>
  <si>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</si>
  <si>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</si>
  <si>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</si>
  <si>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</si>
  <si>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</si>
  <si>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</si>
  <si>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</si>
  <si>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</si>
  <si>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</si>
  <si>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</si>
  <si>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</si>
  <si>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</si>
  <si>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</si>
  <si>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</si>
  <si>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</si>
  <si>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</si>
  <si>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</si>
  <si>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</si>
  <si>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</si>
  <si>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</si>
  <si>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</si>
  <si>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</si>
  <si>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</si>
  <si>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</si>
  <si>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</si>
  <si>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</si>
  <si>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</si>
  <si>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</si>
  <si>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</si>
  <si>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</si>
  <si>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</si>
  <si>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</si>
  <si>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</si>
  <si>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</si>
  <si>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</si>
  <si>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</si>
  <si>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</si>
  <si>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</si>
  <si>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</si>
  <si>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</si>
  <si>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</si>
  <si>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</si>
  <si>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</si>
  <si>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</si>
  <si>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</si>
  <si>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</si>
  <si>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</si>
  <si>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</si>
  <si>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</si>
  <si>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</si>
  <si>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</si>
  <si>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</si>
  <si>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</si>
  <si>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</si>
  <si>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</si>
  <si>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</si>
  <si>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</si>
  <si>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</si>
  <si>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</si>
  <si>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</si>
  <si>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</si>
  <si>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</si>
  <si>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</si>
  <si>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</si>
  <si>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</si>
  <si>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</si>
  <si>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</si>
  <si>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</si>
  <si>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</si>
  <si>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</si>
  <si>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</si>
  <si>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</si>
  <si>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</si>
  <si>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</si>
  <si>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</si>
  <si>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</si>
  <si>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</si>
  <si>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</si>
  <si>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</si>
  <si>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</si>
  <si>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</si>
  <si>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</si>
  <si>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</si>
  <si>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</si>
  <si>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</si>
  <si>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</si>
  <si>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</si>
  <si>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</si>
  <si>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</si>
  <si>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</si>
  <si>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</si>
  <si>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</si>
  <si>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</si>
  <si>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</si>
  <si>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</si>
  <si>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</si>
  <si>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</si>
  <si>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</si>
  <si>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</si>
  <si>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</si>
  <si>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</si>
  <si>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</si>
  <si>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</si>
  <si>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</si>
  <si>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</si>
  <si>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</si>
  <si>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</si>
  <si>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</si>
  <si>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</si>
  <si>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</si>
  <si>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</si>
  <si>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</si>
  <si>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</si>
  <si>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</si>
  <si>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</si>
  <si>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</si>
  <si>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</si>
  <si>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</si>
  <si>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</si>
  <si>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</si>
  <si>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</si>
  <si>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</si>
  <si>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</si>
  <si>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</si>
  <si>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</si>
  <si>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</si>
  <si>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</si>
  <si>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</si>
  <si>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</si>
  <si>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</si>
  <si>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</si>
  <si>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</si>
  <si>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</si>
  <si>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</si>
  <si>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</si>
  <si>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</si>
  <si>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</si>
  <si>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</si>
  <si>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</si>
  <si>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</si>
  <si>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</si>
  <si>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</si>
  <si>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</si>
  <si>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</si>
  <si>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</si>
  <si>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</si>
  <si>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</si>
  <si>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</si>
  <si>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</si>
  <si>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</si>
  <si>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</si>
  <si>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</si>
  <si>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</si>
  <si>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</si>
  <si>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</si>
  <si>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</si>
  <si>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</si>
  <si>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</si>
  <si>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</si>
  <si>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</si>
  <si>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</si>
  <si>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</si>
  <si>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</si>
  <si>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</si>
  <si>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</si>
  <si>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</si>
  <si>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</si>
  <si>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</si>
  <si>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</si>
  <si>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</si>
  <si>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</si>
  <si>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</si>
  <si>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</si>
  <si>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</si>
  <si>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</si>
  <si>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</si>
  <si>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</si>
  <si>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</si>
  <si>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</si>
  <si>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</si>
  <si>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</si>
  <si>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</si>
  <si>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</si>
  <si>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</si>
  <si>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</si>
  <si>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</si>
  <si>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</si>
  <si>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</si>
  <si>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</si>
  <si>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</si>
  <si>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</si>
  <si>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</si>
  <si>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</si>
  <si>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</si>
  <si>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</si>
  <si>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</si>
  <si>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</si>
  <si>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</si>
  <si>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</si>
  <si>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</si>
  <si>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</si>
  <si>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</si>
  <si>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</si>
  <si>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</si>
  <si>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</si>
  <si>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</si>
  <si>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</si>
  <si>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</si>
  <si>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</si>
  <si>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</si>
  <si>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</si>
  <si>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</si>
  <si>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</si>
  <si>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</si>
  <si>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</si>
  <si>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</si>
  <si>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</si>
  <si>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</si>
  <si>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</si>
  <si>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</si>
  <si>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</si>
  <si>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</si>
  <si>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</si>
  <si>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</si>
  <si>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</si>
  <si>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</si>
  <si>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</si>
  <si>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</si>
  <si>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</si>
  <si>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</si>
  <si>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</si>
  <si>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</si>
  <si>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</si>
  <si>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</si>
  <si>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</si>
  <si>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</si>
  <si>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</si>
  <si>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</si>
  <si>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</si>
  <si>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</si>
  <si>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</si>
  <si>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</si>
  <si>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</si>
  <si>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</si>
  <si>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</si>
  <si>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</si>
  <si>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</si>
  <si>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</si>
  <si>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</si>
  <si>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</si>
  <si>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</si>
  <si>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</si>
  <si>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</si>
  <si>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</si>
  <si>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</si>
  <si>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</si>
  <si>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</si>
  <si>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</si>
  <si>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</si>
  <si>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</si>
  <si>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</si>
  <si>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</si>
  <si>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</si>
  <si>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</si>
  <si>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</si>
  <si>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</si>
  <si>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</si>
  <si>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</si>
  <si>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</si>
  <si>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</si>
  <si>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</si>
  <si>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</si>
  <si>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</si>
  <si>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</si>
  <si>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</si>
  <si>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</si>
  <si>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</si>
  <si>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</si>
  <si>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</si>
  <si>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</si>
  <si>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</si>
  <si>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</si>
  <si>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</si>
  <si>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</si>
  <si>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</si>
  <si>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</si>
  <si>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</si>
  <si>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</si>
  <si>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</si>
  <si>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</si>
  <si>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</si>
  <si>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</si>
  <si>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</si>
  <si>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</si>
  <si>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</si>
  <si>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</si>
  <si>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</si>
  <si>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</si>
  <si>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</si>
  <si>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</si>
  <si>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</si>
  <si>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</si>
  <si>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</si>
  <si>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</si>
  <si>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</si>
  <si>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</si>
  <si>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</si>
  <si>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</si>
  <si>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</si>
  <si>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</si>
  <si>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</si>
  <si>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</si>
  <si>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</si>
  <si>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</si>
  <si>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</si>
  <si>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</si>
  <si>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</si>
  <si>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</si>
  <si>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</si>
  <si>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</si>
  <si>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</si>
  <si>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</si>
  <si>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</si>
  <si>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</si>
  <si>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</si>
  <si>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</si>
  <si>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</si>
  <si>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</si>
  <si>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</si>
  <si>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</si>
  <si>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</si>
  <si>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</si>
  <si>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</si>
  <si>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</si>
  <si>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</si>
  <si>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</si>
  <si>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</si>
  <si>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</si>
  <si>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</si>
  <si>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</si>
  <si>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</si>
  <si>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</si>
  <si>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</si>
  <si>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</si>
  <si>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</si>
  <si>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</si>
  <si>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</si>
  <si>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</si>
  <si>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</si>
  <si>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</si>
  <si>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</si>
  <si>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</si>
  <si>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</si>
  <si>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</si>
  <si>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</si>
  <si>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</si>
  <si>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</si>
  <si>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</si>
  <si>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</si>
  <si>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</si>
  <si>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</si>
  <si>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</si>
  <si>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</si>
  <si>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</si>
  <si>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</si>
  <si>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</si>
  <si>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</si>
  <si>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</si>
  <si>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</si>
  <si>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</si>
  <si>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</si>
  <si>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</si>
  <si>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</si>
  <si>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</si>
  <si>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</si>
  <si>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</si>
  <si>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</si>
  <si>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</si>
  <si>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</si>
  <si>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</si>
  <si>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</si>
  <si>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</si>
  <si>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</si>
  <si>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</si>
  <si>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</si>
  <si>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</si>
  <si>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</si>
  <si>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</si>
  <si>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</si>
  <si>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</si>
  <si>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</si>
  <si>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</si>
  <si>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</si>
  <si>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</si>
  <si>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</si>
  <si>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</si>
  <si>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</si>
  <si>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</si>
  <si>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</si>
  <si>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</si>
  <si>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</si>
  <si>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</si>
  <si>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</si>
  <si>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</si>
  <si>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</si>
  <si>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</si>
  <si>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</si>
  <si>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</si>
  <si>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</si>
  <si>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</si>
  <si>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</si>
  <si>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</si>
  <si>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</si>
  <si>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</si>
  <si>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</si>
  <si>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</si>
  <si>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</si>
  <si>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</si>
  <si>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</si>
  <si>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</si>
  <si>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</si>
  <si>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</si>
  <si>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</si>
  <si>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</si>
  <si>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</si>
  <si>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</si>
  <si>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</si>
  <si>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</si>
  <si>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</si>
  <si>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</si>
  <si>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</si>
  <si>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</si>
  <si>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</si>
  <si>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</si>
  <si>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</si>
  <si>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</si>
  <si>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</si>
  <si>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</si>
  <si>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</si>
  <si>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</si>
  <si>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</si>
  <si>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</si>
  <si>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</si>
  <si>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</si>
  <si>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</si>
  <si>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</si>
  <si>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</si>
  <si>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</si>
  <si>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</si>
  <si>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</si>
  <si>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</si>
  <si>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</si>
  <si>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</si>
  <si>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</si>
  <si>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</si>
  <si>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</si>
  <si>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</si>
  <si>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</si>
  <si>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</si>
  <si>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</si>
  <si>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</si>
  <si>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</si>
  <si>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</si>
  <si>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</si>
  <si>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</si>
  <si>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</si>
  <si>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</si>
  <si>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</si>
  <si>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</si>
  <si>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</si>
  <si>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</si>
  <si>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</si>
  <si>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</si>
  <si>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</si>
  <si>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</si>
  <si>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</si>
  <si>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</si>
  <si>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</si>
  <si>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</si>
  <si>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</si>
  <si>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</si>
  <si>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</si>
  <si>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</si>
  <si>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</si>
  <si>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</si>
  <si>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</si>
  <si>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</si>
  <si>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</si>
  <si>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</si>
  <si>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</si>
  <si>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</si>
  <si>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</si>
  <si>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</si>
  <si>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</si>
  <si>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</si>
  <si>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</si>
  <si>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</si>
  <si>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</si>
  <si>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</si>
  <si>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</si>
  <si>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</si>
  <si>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</si>
  <si>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</si>
  <si>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</si>
  <si>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</si>
  <si>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</si>
  <si>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</si>
  <si>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</si>
  <si>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</si>
  <si>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</si>
  <si>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</si>
  <si>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</si>
  <si>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</si>
  <si>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</si>
  <si>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</si>
  <si>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</si>
  <si>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</si>
  <si>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</si>
  <si>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</si>
  <si>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</si>
  <si>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</si>
  <si>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</si>
  <si>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</si>
  <si>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</si>
  <si>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</si>
  <si>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</si>
  <si>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</si>
  <si>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</si>
  <si>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</si>
  <si>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</si>
  <si>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</si>
  <si>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</si>
  <si>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</si>
  <si>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</si>
  <si>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</si>
  <si>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</si>
  <si>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</si>
  <si>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</si>
  <si>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</si>
  <si>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</si>
  <si>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</si>
  <si>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</si>
  <si>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</si>
  <si>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</si>
  <si>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</si>
  <si>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</si>
  <si>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</si>
  <si>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</si>
  <si>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</si>
  <si>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</si>
  <si>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</si>
  <si>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</si>
  <si>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</si>
  <si>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</si>
  <si>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</si>
  <si>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</si>
  <si>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</si>
  <si>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</si>
  <si>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</si>
  <si>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</si>
  <si>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</si>
  <si>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</si>
  <si>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</si>
  <si>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</si>
  <si>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</si>
  <si>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</si>
  <si>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</si>
  <si>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</si>
  <si>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</si>
  <si>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</si>
  <si>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</si>
  <si>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</si>
  <si>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</si>
  <si>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</si>
  <si>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</si>
  <si>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</si>
  <si>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</si>
  <si>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</si>
  <si>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</si>
  <si>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</si>
  <si>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</si>
  <si>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</si>
  <si>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</si>
  <si>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</si>
  <si>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</si>
  <si>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</si>
  <si>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</si>
  <si>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</si>
  <si>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</si>
  <si>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</si>
  <si>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</si>
  <si>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</si>
  <si>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</si>
  <si>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</si>
  <si>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</si>
  <si>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</si>
  <si>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</si>
  <si>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</si>
  <si>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</si>
  <si>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</si>
  <si>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</si>
  <si>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</si>
  <si>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</si>
  <si>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</si>
  <si>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</si>
  <si>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</si>
  <si>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</si>
  <si>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</si>
  <si>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</si>
  <si>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</si>
  <si>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</si>
  <si>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</si>
  <si>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</si>
  <si>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</si>
  <si>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</si>
  <si>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</si>
  <si>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</si>
  <si>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</si>
  <si>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</si>
  <si>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</si>
  <si>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</si>
  <si>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</si>
  <si>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</si>
  <si>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</si>
  <si>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</si>
  <si>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</si>
  <si>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</si>
  <si>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</si>
  <si>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</si>
  <si>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</si>
  <si>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</si>
  <si>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</si>
  <si>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</si>
  <si>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</si>
  <si>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</si>
  <si>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</si>
  <si>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</si>
  <si>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</si>
  <si>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</si>
  <si>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</si>
  <si>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</si>
  <si>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</si>
  <si>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</si>
  <si>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</si>
  <si>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</si>
  <si>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</si>
  <si>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</si>
  <si>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</si>
  <si>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</si>
  <si>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</si>
  <si>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</si>
  <si>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</si>
  <si>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</si>
  <si>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</si>
  <si>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</si>
  <si>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</si>
  <si>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</si>
  <si>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</si>
  <si>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</si>
  <si>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</si>
  <si>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</si>
  <si>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</si>
  <si>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</si>
  <si>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</si>
  <si>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</si>
  <si>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</si>
  <si>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</si>
  <si>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</si>
  <si>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</si>
  <si>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</si>
  <si>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</si>
  <si>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</si>
  <si>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</si>
  <si>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</si>
  <si>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</si>
  <si>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</si>
  <si>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</si>
  <si>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</si>
  <si>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</si>
  <si>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</si>
  <si>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</si>
  <si>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</si>
  <si>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</si>
  <si>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</si>
  <si>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</si>
  <si>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</si>
  <si>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</si>
  <si>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</si>
  <si>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</si>
  <si>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</si>
  <si>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</si>
  <si>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</si>
  <si>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</si>
  <si>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</si>
  <si>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</si>
  <si>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</si>
  <si>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</si>
  <si>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</si>
  <si>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</si>
  <si>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</si>
  <si>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</si>
  <si>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</si>
  <si>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</si>
  <si>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</si>
  <si>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</si>
  <si>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</si>
  <si>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</si>
  <si>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</si>
  <si>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</si>
  <si>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</si>
  <si>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</si>
  <si>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</si>
  <si>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</si>
  <si>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</si>
  <si>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</si>
  <si>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</si>
  <si>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</si>
  <si>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</si>
  <si>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</si>
  <si>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</si>
  <si>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</si>
  <si>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</si>
  <si>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</si>
  <si>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</si>
  <si>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</si>
  <si>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</si>
  <si>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</si>
  <si>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</si>
  <si>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</si>
  <si>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</si>
  <si>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</si>
  <si>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</si>
  <si>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</si>
  <si>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</si>
  <si>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</si>
  <si>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</si>
  <si>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</si>
  <si>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</si>
  <si>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</si>
  <si>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</si>
  <si>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</si>
  <si>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</si>
  <si>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</si>
  <si>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</si>
  <si>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</si>
  <si>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</si>
  <si>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</si>
  <si>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</si>
  <si>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</si>
  <si>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</si>
  <si>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</si>
  <si>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</si>
  <si>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</si>
  <si>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</si>
  <si>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</si>
  <si>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</si>
  <si>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</si>
  <si>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</si>
  <si>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</si>
  <si>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</si>
  <si>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</si>
  <si>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</si>
  <si>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</si>
  <si>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</si>
  <si>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</si>
  <si>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</si>
  <si>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</si>
  <si>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</si>
  <si>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</si>
  <si>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</si>
  <si>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</si>
  <si>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</si>
  <si>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</si>
  <si>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</si>
  <si>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</si>
  <si>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</si>
  <si>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</si>
  <si>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</si>
  <si>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</si>
  <si>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</si>
  <si>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</si>
  <si>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</si>
  <si>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</si>
  <si>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</si>
  <si>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</si>
  <si>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</si>
  <si>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</si>
  <si>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</si>
  <si>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</si>
  <si>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</si>
  <si>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</si>
  <si>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</si>
  <si>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</si>
  <si>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</si>
  <si>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</si>
  <si>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</si>
  <si>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</si>
  <si>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</si>
  <si>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</si>
  <si>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</si>
  <si>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</si>
  <si>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</si>
  <si>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</si>
  <si>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</si>
  <si>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</si>
  <si>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</si>
  <si>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</si>
  <si>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</si>
  <si>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</si>
  <si>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</si>
  <si>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</si>
  <si>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</si>
  <si>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</si>
  <si>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</si>
  <si>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</si>
  <si>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</si>
  <si>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</si>
  <si>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</si>
  <si>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</si>
  <si>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</si>
  <si>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</si>
  <si>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</si>
  <si>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</si>
  <si>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</si>
  <si>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</si>
  <si>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</si>
  <si>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</si>
  <si>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</si>
  <si>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</si>
  <si>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</si>
  <si>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</si>
  <si>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</si>
  <si>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</si>
  <si>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</si>
  <si>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</si>
  <si>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</si>
  <si>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</si>
  <si>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</si>
  <si>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</si>
  <si>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</si>
  <si>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</si>
  <si>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</si>
  <si>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</si>
  <si>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</si>
  <si>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</si>
  <si>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</si>
  <si>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</si>
  <si>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</si>
  <si>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</si>
  <si>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</si>
  <si>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</si>
  <si>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</si>
  <si>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</si>
  <si>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</si>
  <si>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</si>
  <si>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</si>
  <si>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</si>
  <si>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</si>
  <si>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</si>
  <si>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</si>
  <si>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</si>
  <si>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</si>
  <si>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</si>
  <si>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</si>
  <si>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</si>
  <si>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</si>
  <si>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</si>
  <si>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</si>
  <si>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</si>
  <si>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</si>
  <si>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</si>
  <si>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</si>
  <si>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</si>
  <si>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</si>
  <si>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</si>
  <si>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</si>
  <si>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</si>
  <si>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</si>
  <si>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</si>
  <si>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</si>
  <si>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</si>
  <si>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</si>
  <si>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</si>
  <si>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</si>
  <si>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</si>
  <si>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</si>
  <si>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</si>
  <si>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</si>
  <si>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</si>
  <si>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</si>
  <si>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</si>
  <si>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</si>
  <si>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</si>
  <si>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</si>
  <si>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</si>
  <si>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</si>
  <si>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</si>
  <si>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</si>
  <si>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</si>
  <si>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</si>
  <si>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</si>
  <si>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</si>
  <si>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</si>
  <si>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</si>
  <si>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</si>
  <si>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</si>
  <si>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</si>
  <si>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</si>
  <si>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</si>
  <si>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</si>
  <si>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</si>
  <si>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</si>
  <si>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</si>
  <si>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</si>
  <si>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</si>
  <si>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</si>
  <si>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</si>
  <si>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</si>
  <si>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</si>
  <si>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</si>
  <si>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</si>
  <si>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</si>
  <si>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</si>
  <si>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</si>
  <si>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</si>
  <si>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</si>
  <si>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</si>
  <si>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</si>
  <si>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</si>
  <si>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</si>
  <si>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</si>
  <si>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</si>
  <si>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</si>
  <si>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</si>
  <si>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</si>
  <si>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</si>
  <si>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</si>
  <si>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</si>
  <si>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</si>
  <si>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</si>
  <si>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</si>
  <si>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</si>
  <si>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</si>
  <si>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</si>
  <si>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</si>
  <si>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</si>
  <si>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</si>
  <si>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</si>
  <si>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</si>
  <si>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</si>
  <si>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</si>
  <si>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</si>
  <si>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</si>
  <si>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</si>
  <si>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</si>
  <si>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</si>
  <si>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</si>
  <si>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</si>
  <si>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</si>
  <si>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</si>
  <si>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</si>
  <si>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</si>
  <si>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</si>
  <si>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</si>
  <si>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</si>
  <si>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</si>
  <si>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</si>
  <si>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</si>
  <si>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</si>
  <si>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</si>
  <si>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</si>
  <si>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</si>
  <si>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</si>
  <si>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</si>
  <si>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</si>
  <si>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</si>
  <si>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</si>
  <si>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</si>
  <si>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</si>
  <si>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</si>
  <si>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</si>
  <si>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</si>
  <si>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</si>
  <si>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</si>
  <si>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</si>
  <si>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</si>
  <si>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</si>
  <si>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</si>
  <si>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</si>
  <si>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</si>
  <si>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</si>
  <si>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</si>
  <si>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</si>
  <si>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</si>
  <si>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</si>
  <si>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</si>
  <si>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</si>
  <si>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</si>
  <si>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</si>
  <si>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</si>
  <si>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</si>
  <si>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</si>
  <si>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</si>
  <si>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</si>
  <si>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</si>
  <si>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</si>
  <si>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</si>
  <si>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</si>
  <si>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</si>
  <si>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</si>
  <si>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</si>
  <si>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</si>
  <si>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</si>
  <si>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</si>
  <si>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</si>
  <si>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</si>
  <si>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</si>
  <si>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</si>
  <si>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</si>
  <si>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</si>
  <si>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</si>
  <si>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</si>
  <si>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</si>
  <si>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</si>
  <si>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</si>
  <si>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</si>
  <si>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</si>
  <si>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</si>
  <si>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</si>
  <si>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</si>
  <si>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</si>
  <si>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</si>
  <si>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</si>
  <si>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</si>
  <si>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</si>
  <si>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</si>
  <si>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</si>
  <si>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</si>
  <si>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</si>
  <si>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</si>
  <si>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</si>
  <si>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</si>
  <si>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</si>
  <si>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</si>
  <si>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</si>
  <si>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</si>
  <si>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</si>
  <si>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</si>
  <si>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</si>
  <si>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</si>
  <si>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</si>
  <si>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</si>
  <si>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</si>
  <si>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</si>
  <si>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</si>
  <si>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</si>
  <si>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</si>
  <si>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</si>
  <si>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</si>
  <si>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</si>
  <si>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</si>
  <si>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</si>
  <si>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</si>
  <si>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</si>
  <si>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</si>
  <si>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</si>
  <si>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</si>
  <si>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</si>
  <si>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</si>
  <si>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</si>
  <si>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</si>
  <si>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</si>
  <si>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</si>
  <si>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</si>
  <si>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</si>
  <si>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</si>
  <si>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</si>
  <si>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</si>
  <si>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</si>
  <si>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</si>
  <si>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</si>
  <si>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</si>
  <si>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</si>
  <si>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</si>
  <si>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</si>
  <si>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</si>
  <si>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</si>
  <si>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</si>
  <si>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</si>
  <si>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</si>
  <si>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</si>
  <si>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</si>
  <si>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</si>
  <si>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</si>
  <si>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</si>
  <si>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</si>
  <si>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</si>
  <si>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</si>
  <si>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</si>
  <si>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</si>
  <si>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</si>
  <si>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</si>
  <si>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</si>
  <si>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</si>
  <si>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</si>
  <si>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</si>
  <si>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</si>
  <si>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</si>
  <si>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</si>
  <si>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</si>
  <si>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</si>
  <si>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</si>
  <si>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</si>
  <si>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</si>
  <si>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</si>
  <si>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</si>
  <si>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</si>
  <si>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</si>
  <si>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</si>
  <si>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</si>
  <si>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</si>
  <si>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</si>
  <si>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</si>
  <si>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</si>
  <si>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</si>
  <si>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</si>
  <si>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</si>
  <si>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</si>
  <si>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</si>
  <si>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</si>
  <si>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</si>
  <si>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</si>
  <si>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</si>
  <si>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</si>
  <si>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</si>
  <si>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</si>
  <si>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</si>
  <si>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</si>
  <si>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</si>
  <si>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</si>
  <si>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</si>
  <si>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</si>
  <si>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</si>
  <si>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</si>
  <si>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</si>
  <si>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</si>
  <si>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</si>
  <si>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</si>
  <si>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</si>
  <si>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</si>
  <si>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</si>
  <si>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</si>
  <si>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</si>
  <si>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</si>
  <si>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</si>
  <si>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</si>
  <si>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</si>
  <si>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</si>
  <si>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</si>
  <si>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</si>
  <si>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</si>
  <si>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</si>
  <si>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</si>
  <si>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</si>
  <si>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</si>
  <si>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</si>
  <si>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</si>
  <si>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</si>
  <si>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</si>
  <si>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</si>
  <si>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</si>
  <si>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</si>
  <si>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</si>
  <si>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</si>
  <si>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</si>
  <si>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</si>
  <si>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</si>
  <si>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</si>
  <si>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</si>
  <si>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</si>
  <si>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</si>
  <si>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</si>
  <si>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</si>
  <si>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</si>
  <si>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</si>
  <si>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</si>
  <si>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</si>
  <si>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</si>
  <si>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</si>
  <si>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</si>
  <si>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</si>
  <si>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</si>
  <si>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</si>
  <si>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</si>
  <si>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</si>
  <si>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</si>
  <si>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</si>
  <si>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</si>
  <si>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</si>
  <si>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</si>
  <si>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</si>
  <si>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</si>
  <si>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</si>
  <si>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</si>
  <si>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</si>
  <si>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</si>
  <si>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</si>
  <si>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</si>
  <si>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</si>
  <si>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</si>
  <si>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</si>
  <si>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</si>
  <si>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</si>
  <si>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</si>
  <si>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</si>
  <si>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</si>
  <si>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</si>
  <si>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</si>
  <si>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</si>
  <si>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</si>
  <si>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</si>
  <si>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</si>
  <si>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</si>
  <si>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</si>
  <si>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</si>
  <si>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</si>
  <si>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</si>
  <si>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</si>
  <si>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</si>
  <si>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</si>
  <si>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</si>
  <si>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</si>
  <si>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</si>
  <si>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</si>
  <si>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</si>
  <si>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</si>
  <si>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</si>
  <si>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</si>
  <si>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</si>
  <si>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</si>
  <si>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</si>
  <si>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</si>
  <si>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</si>
  <si>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</si>
  <si>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</si>
  <si>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</si>
  <si>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</si>
  <si>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</si>
  <si>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</si>
  <si>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</si>
  <si>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</si>
  <si>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</si>
  <si>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</si>
  <si>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</si>
  <si>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</si>
  <si>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</si>
  <si>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</si>
  <si>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</si>
  <si>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</si>
  <si>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</si>
  <si>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</si>
  <si>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</si>
  <si>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</si>
  <si>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</si>
  <si>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</si>
  <si>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</si>
  <si>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</si>
  <si>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</si>
  <si>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</si>
  <si>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</si>
  <si>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</si>
  <si>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</si>
  <si>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</si>
  <si>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</si>
  <si>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</si>
  <si>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</si>
  <si>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</si>
  <si>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</si>
  <si>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</si>
  <si>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</si>
  <si>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</si>
  <si>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</si>
  <si>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</si>
  <si>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</si>
  <si>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</si>
  <si>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</si>
  <si>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</si>
  <si>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</si>
  <si>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</si>
  <si>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</si>
  <si>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</si>
  <si>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</si>
  <si>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</si>
  <si>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</si>
  <si>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</si>
  <si>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</si>
  <si>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</si>
  <si>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</si>
  <si>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</si>
  <si>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</si>
  <si>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</si>
  <si>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</si>
  <si>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</si>
  <si>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</si>
  <si>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</si>
  <si>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</si>
  <si>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</si>
  <si>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</si>
  <si>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</si>
  <si>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</si>
  <si>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</si>
  <si>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</si>
  <si>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</si>
  <si>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</si>
  <si>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</si>
  <si>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</si>
  <si>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</si>
  <si>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</si>
  <si>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</si>
  <si>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</si>
  <si>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</si>
  <si>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</si>
  <si>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</si>
  <si>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</si>
  <si>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</si>
  <si>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</si>
  <si>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</si>
  <si>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</si>
  <si>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</si>
  <si>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</si>
  <si>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</si>
  <si>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</si>
  <si>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</si>
  <si>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</si>
  <si>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</si>
  <si>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</si>
  <si>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</si>
  <si>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</si>
  <si>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</si>
  <si>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</si>
  <si>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</si>
  <si>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</si>
  <si>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</si>
  <si>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</si>
  <si>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</si>
  <si>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</si>
  <si>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</si>
  <si>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</si>
  <si>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</si>
  <si>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</si>
  <si>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</si>
  <si>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</si>
  <si>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</si>
  <si>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</si>
  <si>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</si>
  <si>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</si>
  <si>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</si>
  <si>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</si>
  <si>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</si>
  <si>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</si>
  <si>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</si>
  <si>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</si>
  <si>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</si>
  <si>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</si>
  <si>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</si>
  <si>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</si>
  <si>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</si>
  <si>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</si>
  <si>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</si>
  <si>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</si>
  <si>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</si>
  <si>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</si>
  <si>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</si>
  <si>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</si>
  <si>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</si>
  <si>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</si>
  <si>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</si>
  <si>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</si>
  <si>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</si>
  <si>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</si>
  <si>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</si>
  <si>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</si>
  <si>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</si>
  <si>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</si>
  <si>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</si>
  <si>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</si>
  <si>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</si>
  <si>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</si>
  <si>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</si>
  <si>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</si>
  <si>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</si>
  <si>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</si>
  <si>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</si>
  <si>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</si>
  <si>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</si>
  <si>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</si>
  <si>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</si>
  <si>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</si>
  <si>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</si>
  <si>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</si>
  <si>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</si>
  <si>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</si>
  <si>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</si>
  <si>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</si>
  <si>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</si>
  <si>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</si>
  <si>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</si>
  <si>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</si>
  <si>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</si>
  <si>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</si>
  <si>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</si>
  <si>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</si>
  <si>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</si>
  <si>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</si>
  <si>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</si>
  <si>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</si>
  <si>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</si>
  <si>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</si>
  <si>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</si>
  <si>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</si>
  <si>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</si>
  <si>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</si>
  <si>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</si>
  <si>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</si>
  <si>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</si>
  <si>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</si>
  <si>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</si>
  <si>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</si>
  <si>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</si>
  <si>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</si>
  <si>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</si>
  <si>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</si>
  <si>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</si>
  <si>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</si>
  <si>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</si>
  <si>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</si>
  <si>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</si>
  <si>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</si>
  <si>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</si>
  <si>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</si>
  <si>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</si>
  <si>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</si>
  <si>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</si>
  <si>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</si>
  <si>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</si>
  <si>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</si>
  <si>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</si>
  <si>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</si>
  <si>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</si>
  <si>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</si>
  <si>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</si>
  <si>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</si>
  <si>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</si>
  <si>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</si>
  <si>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</si>
  <si>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</si>
  <si>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</si>
  <si>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</si>
  <si>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</si>
  <si>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</si>
  <si>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</si>
  <si>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</si>
  <si>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</si>
  <si>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</si>
  <si>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</si>
  <si>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</si>
  <si>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</si>
  <si>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</si>
  <si>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</si>
  <si>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</si>
  <si>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</si>
  <si>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</si>
  <si>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</si>
  <si>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</si>
  <si>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</si>
  <si>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</si>
  <si>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</si>
  <si>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</si>
  <si>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</si>
  <si>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</si>
  <si>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</si>
  <si>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</si>
  <si>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</si>
  <si>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</si>
  <si>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</si>
  <si>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</si>
  <si>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</si>
  <si>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</si>
  <si>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</si>
  <si>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</si>
  <si>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</si>
  <si>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</si>
  <si>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</si>
  <si>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</si>
  <si>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</si>
  <si>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</si>
  <si>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</si>
  <si>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</si>
  <si>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</si>
  <si>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</si>
  <si>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</si>
  <si>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</si>
  <si>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</si>
  <si>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</si>
  <si>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</si>
  <si>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</si>
  <si>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</si>
  <si>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</si>
  <si>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</si>
  <si>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</si>
  <si>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</si>
  <si>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</si>
  <si>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</si>
  <si>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</si>
  <si>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</si>
  <si>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</si>
  <si>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</si>
  <si>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</si>
  <si>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</si>
  <si>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</si>
  <si>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</si>
  <si>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</si>
  <si>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</si>
  <si>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</si>
  <si>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</si>
  <si>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</si>
  <si>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</si>
  <si>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</si>
  <si>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</si>
  <si>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</si>
  <si>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</si>
  <si>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</si>
  <si>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</si>
  <si>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</si>
  <si>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</si>
  <si>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</si>
  <si>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</si>
  <si>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</si>
  <si>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</si>
  <si>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</si>
  <si>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</si>
  <si>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</si>
  <si>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</si>
  <si>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</si>
  <si>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</si>
  <si>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</si>
  <si>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</si>
  <si>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</si>
  <si>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</si>
  <si>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</si>
  <si>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</si>
  <si>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</si>
  <si>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</si>
  <si>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</si>
  <si>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</si>
  <si>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</si>
  <si>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</si>
  <si>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</si>
  <si>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</si>
  <si>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</si>
  <si>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</si>
  <si>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</si>
  <si>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</si>
  <si>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</si>
  <si>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</si>
  <si>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</si>
  <si>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</si>
  <si>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</si>
  <si>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</si>
  <si>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</si>
  <si>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</si>
  <si>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</si>
  <si>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</si>
  <si>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</si>
  <si>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</si>
  <si>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</si>
  <si>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</si>
  <si>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</si>
  <si>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</si>
  <si>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</si>
  <si>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</si>
  <si>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</si>
  <si>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</si>
  <si>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</si>
  <si>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</si>
  <si>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</si>
  <si>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</si>
  <si>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</si>
  <si>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</si>
  <si>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</si>
  <si>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</si>
  <si>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</si>
  <si>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</si>
  <si>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</si>
  <si>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</si>
  <si>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</si>
  <si>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</si>
  <si>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</si>
  <si>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</si>
  <si>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</si>
  <si>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</si>
  <si>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</si>
  <si>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</si>
  <si>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</si>
  <si>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</si>
  <si>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</si>
  <si>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</si>
  <si>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</si>
  <si>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</si>
  <si>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</si>
  <si>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</si>
  <si>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</si>
  <si>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</si>
  <si>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</si>
  <si>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</si>
  <si>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</si>
  <si>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</si>
  <si>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</si>
  <si>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</si>
  <si>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</si>
  <si>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</si>
  <si>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</si>
  <si>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</si>
  <si>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</si>
  <si>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</si>
  <si>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</si>
  <si>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</si>
  <si>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</si>
  <si>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</si>
  <si>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</si>
  <si>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</si>
  <si>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</si>
  <si>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</si>
  <si>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</si>
  <si>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</si>
  <si>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</si>
  <si>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</si>
  <si>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</si>
  <si>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</si>
  <si>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</si>
  <si>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</si>
  <si>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</si>
  <si>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</si>
  <si>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</si>
  <si>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</si>
  <si>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</si>
  <si>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</si>
  <si>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</si>
  <si>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</si>
  <si>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</si>
  <si>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</si>
  <si>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</si>
  <si>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</si>
  <si>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</si>
  <si>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</si>
  <si>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</si>
  <si>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</si>
  <si>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</si>
  <si>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</si>
  <si>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</si>
  <si>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</si>
  <si>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</si>
  <si>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</si>
  <si>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</si>
  <si>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</si>
  <si>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</si>
  <si>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</si>
  <si>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</si>
  <si>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</si>
  <si>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</si>
  <si>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</si>
  <si>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</si>
  <si>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</si>
  <si>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</si>
  <si>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</si>
  <si>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</si>
  <si>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</si>
  <si>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</si>
  <si>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</si>
  <si>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</si>
  <si>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</si>
  <si>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</si>
  <si>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</si>
  <si>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</si>
  <si>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</si>
  <si>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</si>
  <si>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</si>
  <si>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</si>
  <si>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</si>
  <si>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</si>
  <si>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</si>
  <si>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</si>
  <si>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</si>
  <si>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</si>
  <si>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</si>
  <si>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</si>
  <si>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</si>
  <si>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</si>
  <si>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</si>
  <si>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</si>
  <si>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</si>
  <si>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</si>
  <si>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</si>
  <si>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</si>
  <si>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</si>
  <si>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</si>
  <si>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</si>
  <si>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</si>
  <si>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</si>
  <si>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</si>
  <si>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</si>
  <si>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</si>
  <si>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</si>
  <si>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</si>
  <si>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</si>
  <si>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</si>
  <si>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</si>
  <si>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</si>
  <si>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</si>
  <si>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</si>
  <si>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</si>
  <si>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</si>
  <si>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</si>
  <si>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</si>
  <si>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</si>
  <si>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</si>
  <si>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</si>
  <si>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</si>
  <si>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</si>
  <si>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</si>
  <si>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</si>
  <si>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</si>
  <si>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</si>
  <si>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</si>
  <si>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</si>
  <si>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</si>
  <si>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</si>
  <si>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</si>
  <si>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</si>
  <si>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</si>
  <si>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</si>
  <si>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</si>
  <si>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</si>
  <si>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</si>
  <si>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</si>
  <si>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</si>
  <si>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</si>
  <si>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</si>
  <si>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</si>
  <si>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</si>
  <si>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</si>
  <si>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</si>
  <si>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</si>
  <si>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</si>
  <si>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</si>
  <si>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</si>
  <si>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</si>
  <si>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</si>
  <si>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</si>
  <si>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</si>
  <si>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</si>
  <si>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</si>
  <si>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</si>
  <si>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</si>
  <si>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</si>
  <si>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</si>
  <si>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</si>
  <si>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</si>
  <si>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</si>
  <si>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</si>
  <si>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</si>
  <si>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</si>
  <si>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</si>
  <si>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</si>
  <si>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</si>
  <si>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</si>
  <si>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</si>
  <si>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</si>
  <si>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</si>
  <si>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</si>
  <si>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</si>
  <si>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</si>
  <si>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</si>
  <si>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</si>
  <si>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</si>
  <si>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</si>
  <si>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</si>
  <si>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</si>
  <si>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</si>
  <si>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</si>
  <si>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</si>
  <si>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</si>
  <si>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</si>
  <si>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</si>
  <si>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</si>
  <si>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</si>
  <si>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</si>
  <si>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</si>
  <si>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</si>
  <si>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</si>
  <si>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</si>
  <si>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</si>
  <si>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</si>
  <si>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</si>
  <si>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</si>
  <si>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</si>
  <si>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</si>
  <si>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</si>
  <si>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</si>
  <si>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</si>
  <si>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</si>
  <si>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</si>
  <si>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</si>
  <si>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</si>
  <si>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</si>
  <si>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</si>
  <si>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</si>
  <si>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</si>
  <si>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</si>
  <si>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</si>
  <si>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</si>
  <si>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</si>
  <si>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</si>
  <si>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</si>
  <si>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</si>
  <si>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</si>
  <si>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</si>
  <si>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</si>
  <si>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</si>
  <si>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</si>
  <si>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</si>
  <si>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</si>
  <si>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</si>
  <si>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</si>
  <si>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</si>
  <si>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</si>
  <si>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</si>
  <si>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</si>
  <si>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</si>
  <si>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</si>
  <si>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</si>
  <si>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</si>
  <si>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</si>
  <si>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</si>
  <si>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</si>
  <si>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</si>
  <si>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</si>
  <si>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</si>
  <si>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</si>
  <si>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</si>
  <si>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</si>
  <si>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</si>
  <si>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</si>
  <si>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</si>
  <si>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</si>
  <si>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</si>
  <si>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</si>
  <si>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</si>
  <si>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</si>
  <si>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</si>
  <si>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</si>
  <si>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</si>
  <si>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</si>
  <si>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</si>
  <si>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</si>
  <si>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</si>
  <si>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</si>
  <si>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</si>
  <si>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</si>
  <si>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</si>
  <si>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</si>
  <si>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</si>
  <si>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</si>
  <si>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</si>
  <si>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</si>
  <si>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</si>
  <si>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</si>
  <si>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</si>
  <si>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</si>
  <si>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</si>
  <si>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</si>
  <si>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</si>
  <si>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</si>
  <si>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</si>
  <si>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</si>
  <si>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</si>
  <si>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</si>
  <si>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</si>
  <si>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</si>
  <si>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</si>
  <si>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</si>
  <si>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</si>
  <si>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</si>
  <si>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</si>
  <si>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</si>
  <si>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</si>
  <si>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</si>
  <si>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</si>
  <si>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</si>
  <si>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</si>
  <si>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</si>
  <si>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</si>
  <si>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</si>
  <si>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</si>
  <si>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</si>
  <si>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</si>
  <si>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</si>
  <si>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</si>
  <si>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</si>
  <si>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</si>
  <si>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</si>
  <si>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</si>
  <si>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</si>
  <si>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</si>
  <si>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</si>
  <si>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</si>
  <si>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</si>
  <si>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</si>
  <si>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</si>
  <si>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</si>
  <si>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</si>
  <si>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</si>
  <si>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</si>
  <si>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</si>
  <si>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</si>
  <si>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</si>
  <si>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</si>
  <si>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</si>
  <si>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</si>
  <si>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</si>
  <si>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</si>
  <si>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</si>
  <si>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</si>
  <si>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</si>
  <si>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</si>
  <si>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</si>
  <si>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</si>
  <si>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</si>
  <si>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</si>
  <si>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</si>
  <si>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</si>
  <si>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</si>
  <si>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</si>
  <si>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</si>
  <si>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</si>
  <si>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</si>
  <si>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</si>
  <si>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</si>
  <si>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</si>
  <si>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</si>
  <si>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</si>
  <si>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</si>
  <si>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</si>
  <si>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</si>
  <si>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</si>
  <si>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</si>
  <si>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</si>
  <si>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</si>
  <si>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</si>
  <si>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</si>
  <si>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</si>
  <si>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</si>
  <si>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</si>
  <si>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</si>
  <si>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</si>
  <si>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</si>
  <si>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</si>
  <si>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</si>
  <si>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</si>
  <si>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</si>
  <si>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</si>
  <si>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</si>
  <si>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</si>
  <si>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</si>
  <si>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</si>
  <si>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</si>
  <si>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</si>
  <si>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</si>
  <si>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</si>
  <si>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</si>
  <si>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</si>
  <si>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</si>
  <si>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</si>
  <si>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</si>
  <si>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</si>
  <si>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</si>
  <si>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</si>
  <si>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</si>
  <si>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</si>
  <si>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</si>
  <si>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</si>
  <si>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</si>
  <si>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</si>
  <si>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</si>
  <si>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</si>
  <si>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</si>
  <si>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</si>
  <si>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</si>
  <si>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</si>
  <si>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</si>
  <si>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</si>
  <si>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</si>
  <si>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</si>
  <si>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</si>
  <si>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</si>
  <si>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</si>
  <si>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</si>
  <si>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</si>
  <si>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</si>
  <si>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</si>
  <si>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</si>
  <si>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</si>
  <si>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</si>
  <si>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</si>
  <si>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</si>
  <si>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</si>
  <si>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</si>
  <si>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</si>
  <si>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</si>
  <si>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</si>
  <si>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</si>
  <si>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</si>
  <si>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</si>
  <si>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</si>
  <si>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</si>
  <si>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</si>
  <si>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</si>
  <si>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</si>
  <si>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</si>
  <si>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</si>
  <si>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</si>
  <si>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</si>
  <si>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</si>
  <si>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</si>
  <si>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</si>
  <si>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</si>
  <si>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</si>
  <si>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</si>
  <si>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</si>
  <si>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</si>
  <si>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</si>
  <si>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</si>
  <si>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</si>
  <si>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</si>
  <si>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</si>
  <si>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</si>
  <si>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</si>
  <si>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</si>
  <si>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</si>
  <si>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</si>
  <si>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</si>
  <si>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</si>
  <si>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</si>
  <si>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</si>
  <si>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</si>
  <si>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</si>
  <si>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</si>
  <si>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</si>
  <si>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</si>
  <si>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</si>
  <si>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</si>
  <si>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</si>
  <si>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</si>
  <si>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</si>
  <si>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</si>
  <si>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</si>
  <si>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</si>
  <si>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</si>
  <si>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</si>
  <si>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</si>
  <si>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</si>
  <si>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</si>
  <si>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</si>
  <si>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</si>
  <si>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</si>
  <si>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</si>
  <si>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</si>
  <si>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</si>
  <si>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</si>
  <si>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</si>
  <si>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</si>
  <si>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</si>
  <si>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</si>
  <si>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</si>
  <si>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</si>
  <si>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</si>
  <si>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</si>
  <si>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</si>
  <si>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</si>
  <si>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</si>
  <si>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</si>
  <si>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</si>
  <si>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</si>
  <si>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</si>
  <si>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</si>
  <si>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</si>
  <si>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</si>
  <si>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</si>
  <si>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</si>
  <si>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</si>
  <si>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</si>
  <si>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</si>
  <si>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</si>
  <si>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</si>
  <si>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</si>
  <si>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</si>
  <si>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</si>
  <si>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</si>
  <si>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</si>
  <si>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</si>
  <si>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</si>
  <si>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</si>
  <si>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</si>
  <si>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</si>
  <si>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</si>
  <si>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</si>
  <si>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</si>
  <si>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</si>
  <si>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</si>
  <si>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</si>
  <si>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</si>
  <si>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</si>
  <si>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</si>
  <si>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</si>
  <si>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</si>
  <si>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</si>
  <si>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</si>
  <si>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</si>
  <si>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</si>
  <si>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</si>
  <si>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</si>
  <si>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</si>
  <si>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</si>
  <si>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</si>
  <si>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</si>
  <si>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</si>
  <si>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</si>
  <si>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</si>
  <si>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</si>
  <si>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</si>
  <si>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</si>
  <si>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</si>
  <si>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</si>
  <si>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</si>
  <si>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</si>
  <si>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</si>
  <si>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</si>
  <si>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</si>
  <si>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</si>
  <si>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</si>
  <si>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</si>
  <si>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</si>
  <si>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</si>
  <si>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</si>
  <si>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</si>
  <si>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</si>
  <si>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</si>
  <si>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</si>
  <si>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</si>
  <si>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</si>
  <si>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</si>
  <si>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</si>
  <si>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</si>
  <si>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</si>
  <si>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</si>
  <si>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</si>
  <si>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</si>
  <si>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</si>
  <si>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</si>
  <si>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</si>
  <si>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</si>
  <si>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</si>
  <si>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</si>
  <si>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</si>
  <si>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</si>
  <si>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</si>
  <si>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</si>
  <si>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</si>
  <si>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</si>
  <si>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</si>
  <si>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</si>
  <si>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</si>
  <si>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</si>
  <si>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</si>
  <si>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</si>
  <si>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</si>
  <si>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</si>
  <si>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</si>
  <si>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</si>
  <si>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</si>
  <si>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</si>
  <si>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</si>
  <si>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</si>
  <si>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</si>
  <si>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</si>
  <si>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</si>
  <si>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</si>
  <si>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</si>
  <si>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</si>
  <si>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</si>
  <si>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</si>
  <si>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</si>
  <si>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</si>
  <si>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</si>
  <si>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</si>
  <si>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</si>
  <si>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</si>
  <si>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</si>
  <si>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</si>
  <si>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</si>
  <si>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</si>
  <si>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</si>
  <si>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</si>
  <si>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</si>
  <si>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</si>
  <si>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</si>
  <si>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</si>
  <si>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</si>
  <si>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</si>
  <si>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</si>
  <si>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</si>
  <si>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</si>
  <si>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</si>
  <si>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</si>
  <si>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</si>
  <si>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</si>
  <si>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</si>
  <si>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</si>
  <si>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</si>
  <si>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</si>
  <si>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</si>
  <si>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</si>
  <si>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</si>
  <si>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</si>
  <si>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</si>
  <si>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</si>
  <si>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</si>
  <si>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</si>
  <si>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</si>
  <si>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</si>
  <si>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</si>
  <si>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</si>
  <si>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</si>
  <si>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</si>
  <si>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</si>
  <si>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</si>
  <si>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</si>
  <si>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</si>
  <si>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</si>
  <si>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</si>
  <si>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</si>
  <si>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</si>
  <si>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</si>
  <si>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</si>
  <si>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</si>
  <si>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</si>
  <si>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</si>
  <si>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</si>
  <si>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</si>
  <si>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</si>
  <si>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</si>
  <si>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</si>
  <si>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</si>
  <si>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</si>
  <si>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</si>
  <si>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</si>
  <si>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</si>
  <si>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</si>
  <si>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</si>
  <si>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</si>
  <si>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</si>
  <si>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</si>
  <si>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</si>
  <si>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</si>
  <si>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</si>
  <si>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</si>
  <si>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</si>
  <si>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</si>
  <si>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</si>
  <si>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</si>
  <si>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</si>
  <si>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</si>
  <si>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</si>
  <si>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</si>
  <si>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</si>
  <si>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</si>
  <si>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</si>
  <si>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</si>
  <si>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</si>
  <si>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</si>
  <si>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</si>
  <si>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</si>
  <si>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</si>
  <si>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</si>
  <si>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</si>
  <si>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</si>
  <si>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</si>
  <si>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</si>
  <si>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</si>
  <si>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</si>
  <si>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</si>
  <si>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</si>
  <si>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</si>
  <si>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</si>
  <si>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</si>
  <si>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</si>
  <si>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</si>
  <si>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</si>
  <si>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</si>
  <si>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</si>
  <si>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</si>
  <si>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</si>
  <si>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</si>
  <si>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</si>
  <si>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</si>
  <si>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</si>
  <si>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</si>
  <si>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</si>
  <si>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</si>
  <si>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</si>
  <si>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</si>
  <si>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</si>
  <si>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</si>
  <si>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</si>
  <si>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</si>
  <si>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</si>
  <si>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</si>
  <si>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</si>
  <si>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</si>
  <si>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</si>
  <si>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</si>
  <si>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</si>
  <si>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</si>
  <si>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</si>
  <si>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</si>
  <si>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</si>
  <si>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</si>
  <si>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</si>
  <si>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</si>
  <si>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</si>
  <si>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</si>
  <si>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</si>
  <si>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</si>
  <si>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</si>
  <si>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</si>
  <si>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</si>
  <si>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</si>
  <si>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</si>
  <si>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</si>
  <si>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</si>
  <si>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</si>
  <si>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</si>
  <si>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</si>
  <si>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</si>
  <si>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</si>
  <si>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</si>
  <si>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</si>
  <si>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</si>
  <si>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</si>
  <si>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</si>
  <si>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</si>
  <si>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</si>
  <si>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</si>
  <si>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</si>
  <si>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</si>
  <si>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</si>
  <si>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</si>
  <si>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</si>
  <si>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</si>
  <si>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</si>
  <si>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</si>
  <si>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</si>
  <si>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</si>
  <si>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</si>
  <si>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</si>
  <si>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</si>
  <si>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</si>
  <si>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</si>
  <si>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</si>
  <si>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</si>
  <si>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</si>
  <si>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</si>
  <si>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</si>
  <si>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</si>
  <si>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</si>
  <si>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</si>
  <si>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</si>
  <si>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</si>
  <si>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</si>
  <si>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</si>
  <si>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</si>
  <si>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</si>
  <si>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</si>
  <si>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</si>
  <si>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</si>
  <si>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</si>
  <si>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</si>
  <si>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</si>
  <si>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</si>
  <si>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</si>
  <si>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</si>
  <si>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</si>
  <si>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</si>
  <si>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</si>
  <si>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</si>
  <si>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</si>
  <si>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</si>
  <si>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</si>
  <si>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</si>
  <si>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</si>
  <si>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</si>
  <si>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</si>
  <si>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</si>
  <si>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</si>
  <si>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</si>
  <si>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</si>
  <si>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</si>
  <si>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</si>
  <si>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</si>
  <si>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</si>
  <si>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</si>
  <si>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</si>
  <si>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</si>
  <si>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</si>
  <si>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</si>
  <si>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</si>
  <si>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</si>
  <si>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</si>
  <si>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</si>
  <si>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</si>
  <si>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</si>
  <si>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</si>
  <si>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</si>
  <si>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</si>
  <si>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</si>
  <si>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</si>
  <si>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</si>
  <si>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</si>
  <si>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</si>
  <si>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</si>
  <si>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</si>
  <si>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</si>
  <si>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</si>
  <si>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</si>
  <si>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</si>
  <si>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</si>
  <si>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</si>
  <si>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</si>
  <si>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</si>
  <si>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</si>
  <si>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</si>
  <si>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</si>
  <si>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</si>
  <si>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</si>
  <si>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</si>
  <si>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</si>
  <si>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</si>
  <si>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</si>
  <si>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</si>
  <si>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</si>
  <si>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</si>
  <si>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</si>
  <si>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</si>
  <si>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</si>
  <si>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</si>
  <si>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</si>
  <si>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</si>
  <si>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</si>
  <si>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</si>
  <si>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</si>
  <si>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</si>
  <si>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</si>
  <si>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</si>
  <si>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</si>
  <si>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</si>
  <si>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</si>
  <si>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</si>
  <si>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</si>
  <si>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</si>
  <si>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</si>
  <si>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</si>
  <si>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</si>
  <si>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</si>
  <si>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</si>
  <si>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</si>
  <si>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</si>
  <si>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</si>
  <si>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</si>
  <si>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</si>
  <si>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</si>
  <si>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</si>
  <si>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</si>
  <si>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</si>
  <si>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</si>
  <si>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</si>
  <si>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</si>
  <si>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</si>
  <si>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</si>
  <si>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</si>
  <si>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</si>
  <si>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</si>
  <si>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</si>
  <si>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</si>
  <si>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</si>
  <si>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</si>
  <si>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</si>
  <si>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</si>
  <si>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</si>
  <si>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</si>
  <si>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</si>
  <si>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</si>
  <si>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</si>
  <si>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</si>
  <si>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</si>
  <si>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</si>
  <si>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</si>
  <si>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</si>
  <si>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</si>
  <si>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</si>
  <si>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</si>
  <si>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</si>
  <si>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</si>
  <si>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</si>
  <si>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</si>
  <si>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</si>
  <si>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</si>
  <si>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</si>
  <si>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</si>
  <si>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</si>
  <si>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</si>
  <si>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</si>
  <si>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</si>
  <si>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</si>
  <si>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</si>
  <si>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</si>
  <si>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</si>
  <si>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</si>
  <si>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</si>
  <si>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</si>
  <si>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</si>
  <si>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</si>
  <si>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</si>
  <si>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</si>
  <si>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</si>
  <si>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</si>
  <si>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</si>
  <si>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</si>
  <si>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</si>
  <si>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</si>
  <si>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</si>
  <si>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</si>
  <si>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</si>
  <si>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</si>
  <si>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</si>
  <si>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</si>
  <si>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</si>
  <si>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</si>
  <si>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</si>
  <si>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</si>
  <si>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</si>
  <si>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</si>
  <si>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</si>
  <si>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</si>
  <si>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</si>
  <si>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</si>
  <si>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</si>
  <si>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</si>
  <si>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</si>
  <si>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</si>
  <si>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</si>
  <si>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</si>
  <si>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</si>
  <si>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</si>
  <si>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</si>
  <si>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</si>
  <si>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</si>
  <si>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</si>
  <si>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</si>
  <si>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</si>
  <si>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</si>
  <si>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</si>
  <si>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</si>
  <si>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</si>
  <si>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</si>
  <si>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</si>
  <si>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</si>
  <si>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</si>
  <si>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</si>
  <si>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</si>
  <si>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</si>
  <si>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</si>
  <si>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</si>
  <si>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</si>
  <si>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</si>
  <si>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</si>
  <si>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</si>
  <si>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</si>
  <si>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</si>
  <si>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</si>
  <si>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</si>
  <si>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</si>
  <si>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</si>
  <si>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</si>
  <si>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</si>
  <si>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</si>
  <si>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</si>
  <si>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</si>
  <si>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</si>
  <si>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</si>
  <si>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</si>
  <si>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</si>
  <si>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</si>
  <si>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</si>
  <si>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</si>
  <si>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</si>
  <si>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</si>
  <si>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</si>
  <si>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</si>
  <si>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</si>
  <si>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</si>
  <si>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</si>
  <si>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</si>
  <si>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</si>
  <si>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</si>
  <si>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</si>
  <si>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</si>
  <si>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</si>
  <si>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</si>
  <si>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</si>
  <si>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</si>
  <si>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</si>
  <si>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</si>
  <si>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</si>
  <si>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</si>
  <si>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</si>
  <si>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</si>
  <si>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</si>
  <si>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</si>
  <si>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</si>
  <si>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</si>
  <si>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</si>
  <si>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</si>
  <si>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</si>
  <si>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</si>
  <si>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</si>
  <si>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</si>
  <si>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</si>
  <si>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</si>
  <si>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</si>
  <si>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</si>
  <si>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</si>
  <si>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</si>
  <si>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</si>
  <si>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</si>
  <si>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</si>
  <si>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</si>
  <si>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</si>
  <si>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</si>
  <si>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</si>
  <si>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</si>
  <si>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</si>
  <si>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</si>
  <si>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</si>
  <si>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</si>
  <si>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</si>
  <si>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</si>
  <si>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</si>
  <si>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</si>
  <si>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</si>
  <si>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</si>
  <si>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</si>
  <si>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</si>
  <si>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</si>
  <si>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</si>
  <si>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</si>
  <si>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</si>
  <si>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</si>
  <si>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</si>
  <si>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</si>
  <si>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</si>
  <si>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</si>
  <si>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</si>
  <si>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</si>
  <si>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</si>
  <si>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</si>
  <si>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</si>
  <si>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</si>
  <si>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</si>
  <si>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</si>
  <si>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</si>
  <si>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</si>
  <si>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</si>
  <si>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</si>
  <si>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</si>
  <si>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</si>
  <si>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</si>
  <si>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</si>
  <si>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</si>
  <si>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</si>
  <si>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</si>
  <si>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</si>
  <si>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</si>
  <si>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</si>
  <si>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</si>
  <si>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</si>
  <si>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</si>
  <si>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</si>
  <si>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</si>
  <si>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</si>
  <si>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</si>
  <si>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</si>
  <si>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</si>
  <si>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</si>
  <si>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</si>
  <si>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</si>
  <si>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</si>
  <si>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</si>
  <si>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</si>
  <si>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</si>
  <si>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</si>
  <si>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</si>
  <si>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</si>
  <si>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</si>
  <si>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</si>
  <si>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</si>
  <si>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</si>
  <si>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</si>
  <si>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</si>
  <si>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</si>
  <si>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</si>
  <si>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</si>
  <si>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</si>
  <si>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</si>
  <si>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</si>
  <si>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</si>
  <si>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</si>
  <si>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</si>
  <si>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</si>
  <si>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</si>
  <si>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</si>
  <si>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</si>
  <si>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</si>
  <si>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</si>
  <si>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</si>
  <si>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</si>
  <si>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</si>
  <si>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</si>
  <si>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</si>
  <si>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</si>
  <si>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</si>
  <si>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</si>
  <si>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</si>
  <si>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</si>
  <si>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</si>
  <si>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</si>
  <si>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</si>
  <si>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</si>
  <si>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</si>
  <si>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</si>
  <si>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</si>
  <si>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</si>
  <si>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</si>
  <si>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</si>
  <si>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</si>
  <si>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</si>
  <si>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</si>
  <si>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</si>
  <si>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</si>
  <si>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</si>
  <si>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</si>
  <si>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</si>
  <si>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</si>
  <si>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</si>
  <si>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</si>
  <si>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</si>
  <si>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</si>
  <si>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</si>
  <si>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</si>
  <si>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</si>
  <si>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</si>
  <si>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</si>
  <si>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</si>
  <si>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</si>
  <si>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</si>
  <si>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</si>
  <si>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</si>
  <si>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</si>
  <si>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</si>
  <si>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</si>
  <si>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</si>
  <si>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</si>
  <si>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</si>
  <si>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</si>
  <si>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</si>
  <si>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</si>
  <si>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</si>
  <si>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</si>
  <si>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</si>
  <si>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</si>
  <si>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</si>
  <si>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</si>
  <si>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</si>
  <si>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</si>
  <si>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</si>
  <si>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</si>
  <si>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</si>
  <si>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</si>
  <si>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</si>
  <si>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</si>
  <si>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</si>
  <si>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</si>
  <si>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</si>
  <si>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</si>
  <si>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</si>
  <si>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</si>
  <si>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</si>
  <si>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</si>
  <si>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</si>
  <si>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</si>
  <si>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</si>
  <si>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</si>
  <si>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</si>
  <si>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</si>
  <si>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</si>
  <si>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</si>
  <si>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</si>
  <si>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</si>
  <si>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</si>
  <si>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</si>
  <si>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</si>
  <si>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</si>
  <si>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</si>
  <si>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</si>
  <si>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</si>
  <si>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</si>
  <si>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</si>
  <si>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</si>
  <si>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</si>
  <si>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</si>
  <si>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</si>
  <si>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</si>
  <si>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</si>
  <si>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</si>
  <si>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</si>
  <si>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</si>
  <si>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</si>
  <si>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</si>
  <si>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</si>
  <si>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</si>
  <si>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</si>
  <si>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</si>
  <si>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</si>
  <si>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</si>
  <si>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</si>
  <si>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</si>
  <si>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</si>
  <si>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</si>
  <si>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</si>
  <si>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</si>
  <si>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</si>
  <si>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</si>
  <si>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</si>
  <si>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</si>
  <si>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</si>
  <si>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</si>
  <si>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</si>
  <si>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</si>
  <si>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</si>
  <si>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</si>
  <si>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</si>
  <si>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</si>
  <si>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</si>
  <si>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</si>
  <si>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</si>
  <si>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</si>
  <si>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</si>
  <si>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</si>
  <si>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</si>
  <si>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</si>
  <si>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</si>
  <si>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</si>
  <si>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</si>
  <si>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</si>
  <si>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</si>
  <si>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</si>
  <si>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</si>
  <si>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</si>
  <si>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</si>
  <si>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</si>
  <si>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</si>
  <si>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</si>
  <si>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</si>
  <si>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</si>
  <si>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</si>
  <si>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</si>
  <si>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</si>
  <si>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</si>
  <si>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</si>
  <si>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</si>
  <si>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</si>
  <si>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</si>
  <si>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</si>
  <si>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</si>
  <si>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</si>
  <si>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</si>
  <si>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</si>
  <si>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</si>
  <si>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</si>
  <si>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</si>
  <si>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</si>
  <si>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</si>
  <si>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</si>
  <si>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</si>
  <si>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</si>
  <si>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</si>
  <si>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</si>
  <si>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</si>
  <si>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</si>
  <si>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</si>
  <si>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</si>
  <si>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</si>
  <si>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</si>
  <si>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</si>
  <si>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</si>
  <si>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</si>
  <si>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</si>
  <si>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</si>
  <si>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</si>
  <si>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</si>
  <si>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</si>
  <si>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</si>
  <si>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</si>
  <si>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</si>
  <si>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</si>
  <si>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</si>
  <si>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</si>
  <si>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</si>
  <si>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</si>
  <si>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</si>
  <si>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</si>
  <si>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</si>
  <si>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</si>
  <si>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</si>
  <si>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</si>
  <si>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</si>
  <si>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</si>
  <si>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</si>
  <si>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</si>
  <si>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</si>
  <si>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</si>
  <si>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</si>
  <si>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</si>
  <si>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</si>
  <si>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</si>
  <si>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</si>
  <si>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</si>
  <si>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</si>
  <si>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</si>
  <si>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</si>
  <si>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</si>
  <si>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</si>
  <si>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</si>
  <si>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</si>
  <si>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</si>
  <si>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</si>
  <si>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</si>
  <si>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</si>
  <si>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</si>
  <si>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</si>
  <si>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</si>
  <si>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</si>
  <si>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</si>
  <si>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</si>
  <si>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</si>
  <si>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</si>
  <si>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</si>
  <si>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</si>
  <si>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</si>
  <si>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</si>
  <si>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</si>
  <si>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</si>
  <si>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</si>
  <si>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</si>
  <si>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</si>
  <si>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</si>
  <si>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</si>
  <si>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</si>
  <si>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</si>
  <si>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</si>
  <si>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</si>
  <si>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</si>
  <si>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</si>
  <si>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</si>
  <si>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</si>
  <si>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</si>
  <si>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</si>
  <si>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</si>
  <si>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</si>
  <si>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</si>
  <si>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</si>
  <si>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</si>
  <si>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</si>
  <si>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</si>
  <si>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</si>
  <si>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</si>
  <si>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</si>
  <si>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</si>
  <si>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</si>
  <si>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</si>
  <si>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</si>
  <si>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</si>
  <si>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</si>
  <si>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</si>
  <si>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</si>
  <si>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</si>
  <si>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</si>
  <si>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</si>
  <si>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</si>
  <si>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</si>
  <si>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</si>
  <si>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</si>
  <si>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</si>
  <si>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</si>
  <si>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</si>
  <si>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</si>
  <si>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</si>
  <si>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</si>
  <si>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</si>
  <si>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</si>
  <si>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</si>
  <si>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</si>
  <si>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</si>
  <si>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</si>
  <si>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</si>
  <si>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</si>
  <si>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</si>
  <si>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</si>
  <si>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</si>
  <si>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</si>
  <si>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</si>
  <si>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</si>
  <si>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</si>
  <si>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</si>
  <si>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</si>
  <si>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</si>
  <si>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</si>
  <si>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</si>
  <si>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</si>
  <si>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</si>
  <si>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</si>
  <si>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</si>
  <si>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</si>
  <si>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</si>
  <si>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</si>
  <si>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</si>
  <si>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</si>
  <si>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</si>
  <si>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</si>
  <si>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</si>
  <si>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</si>
  <si>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</si>
  <si>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</si>
  <si>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</si>
  <si>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</si>
  <si>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</si>
  <si>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</si>
  <si>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</si>
  <si>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</si>
  <si>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</si>
  <si>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</si>
  <si>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</si>
  <si>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</si>
  <si>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</si>
  <si>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</si>
  <si>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</si>
  <si>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</si>
  <si>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</si>
  <si>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</si>
  <si>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</si>
  <si>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</si>
  <si>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</si>
  <si>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</si>
  <si>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</si>
  <si>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</si>
  <si>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</si>
  <si>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</si>
  <si>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</si>
  <si>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</si>
  <si>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</si>
  <si>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</si>
  <si>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</si>
  <si>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</si>
  <si>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</si>
  <si>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</si>
  <si>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</si>
  <si>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</si>
  <si>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</si>
  <si>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</si>
  <si>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</si>
  <si>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</si>
  <si>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</si>
  <si>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</si>
  <si>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</si>
  <si>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</si>
  <si>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</si>
  <si>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</si>
  <si>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</si>
  <si>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</si>
  <si>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</si>
  <si>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</si>
  <si>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</si>
  <si>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</si>
  <si>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</si>
  <si>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</si>
  <si>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</si>
  <si>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</si>
  <si>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</si>
  <si>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</si>
  <si>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</si>
  <si>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</si>
  <si>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</si>
  <si>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</si>
  <si>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</si>
  <si>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</si>
  <si>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</si>
  <si>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</si>
  <si>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</si>
  <si>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</si>
  <si>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</si>
  <si>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</si>
  <si>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</si>
  <si>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</si>
  <si>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</si>
  <si>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</si>
  <si>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</si>
  <si>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</si>
  <si>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</si>
  <si>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</si>
  <si>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</si>
  <si>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</si>
  <si>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</si>
  <si>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</si>
  <si>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</si>
  <si>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</si>
  <si>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</si>
  <si>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</si>
  <si>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</si>
  <si>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</si>
  <si>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</si>
  <si>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</si>
  <si>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</si>
  <si>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</si>
  <si>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</si>
  <si>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</si>
  <si>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</si>
  <si>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</si>
  <si>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</si>
  <si>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</si>
  <si>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</si>
  <si>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</si>
  <si>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</si>
  <si>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</si>
  <si>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</si>
  <si>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</si>
  <si>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</si>
  <si>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</si>
  <si>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</si>
  <si>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</si>
  <si>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</si>
  <si>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</si>
  <si>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</si>
  <si>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</si>
  <si>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</si>
  <si>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</si>
  <si>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</si>
  <si>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</si>
  <si>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</si>
  <si>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</si>
  <si>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</si>
  <si>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</si>
  <si>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</si>
  <si>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</si>
  <si>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</si>
  <si>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</si>
  <si>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</si>
  <si>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</si>
  <si>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</si>
  <si>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</si>
  <si>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</si>
  <si>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</si>
  <si>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</si>
  <si>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</si>
  <si>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</si>
  <si>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</si>
  <si>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</si>
  <si>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</si>
  <si>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</si>
  <si>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</si>
  <si>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</si>
  <si>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</si>
  <si>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</si>
  <si>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</si>
  <si>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</si>
  <si>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</si>
  <si>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</si>
  <si>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</si>
  <si>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</si>
  <si>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</si>
  <si>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</si>
  <si>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</si>
  <si>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</si>
  <si>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</si>
  <si>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</si>
  <si>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</si>
  <si>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</si>
  <si>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</si>
  <si>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</si>
  <si>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</si>
  <si>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</si>
  <si>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</si>
  <si>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</si>
  <si>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</si>
  <si>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</si>
  <si>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</si>
  <si>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</si>
  <si>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</si>
  <si>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</si>
  <si>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</si>
  <si>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</si>
  <si>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</si>
  <si>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</si>
  <si>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</si>
  <si>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</si>
  <si>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</si>
  <si>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</si>
  <si>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</si>
  <si>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</si>
  <si>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</si>
  <si>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</si>
  <si>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</si>
  <si>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</si>
  <si>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</si>
  <si>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</si>
  <si>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</si>
  <si>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</si>
  <si>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</si>
  <si>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</si>
  <si>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</si>
  <si>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</si>
  <si>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</si>
  <si>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</si>
  <si>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</si>
  <si>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</si>
  <si>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</si>
  <si>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</si>
  <si>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</si>
  <si>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</si>
  <si>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</si>
  <si>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</si>
  <si>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</si>
  <si>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</si>
  <si>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</si>
  <si>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</si>
  <si>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</si>
  <si>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</si>
  <si>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</si>
  <si>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</si>
  <si>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</si>
  <si>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</si>
  <si>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</si>
  <si>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</si>
  <si>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</si>
  <si>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</si>
  <si>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</si>
  <si>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</si>
  <si>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</si>
  <si>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</si>
  <si>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</si>
  <si>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</si>
  <si>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</si>
  <si>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</si>
  <si>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</si>
  <si>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</si>
  <si>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</si>
  <si>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</si>
  <si>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</si>
  <si>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</si>
  <si>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</si>
  <si>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</si>
  <si>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</si>
  <si>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</si>
  <si>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</si>
  <si>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</si>
  <si>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</si>
  <si>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</si>
  <si>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</si>
  <si>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</si>
  <si>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</si>
  <si>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</si>
  <si>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</si>
  <si>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</si>
  <si>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</si>
  <si>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</si>
  <si>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</si>
  <si>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</si>
  <si>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</si>
  <si>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</si>
  <si>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</si>
  <si>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</si>
  <si>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</si>
  <si>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</si>
  <si>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</si>
  <si>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</si>
  <si>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</si>
  <si>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</si>
  <si>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</si>
  <si>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</si>
  <si>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</si>
  <si>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</si>
  <si>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</si>
  <si>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</si>
  <si>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</si>
  <si>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</si>
  <si>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</si>
  <si>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</si>
  <si>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</si>
  <si>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</si>
  <si>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</si>
  <si>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</si>
  <si>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</si>
  <si>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</si>
  <si>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</si>
  <si>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</si>
  <si>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</si>
  <si>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</si>
  <si>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</si>
  <si>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</si>
  <si>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</si>
  <si>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</si>
  <si>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</si>
  <si>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</si>
  <si>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</si>
  <si>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</si>
  <si>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</si>
  <si>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</si>
  <si>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</si>
  <si>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</si>
  <si>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</si>
  <si>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</si>
  <si>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</si>
  <si>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</si>
  <si>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</si>
  <si>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</si>
  <si>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</si>
  <si>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</si>
  <si>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</si>
  <si>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</si>
  <si>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</si>
  <si>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</si>
  <si>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</si>
  <si>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</si>
  <si>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</si>
  <si>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</si>
  <si>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</si>
  <si>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</si>
  <si>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</si>
  <si>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</si>
  <si>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</si>
  <si>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</si>
  <si>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</si>
  <si>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</si>
  <si>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</si>
  <si>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</si>
  <si>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</si>
  <si>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</si>
  <si>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</si>
  <si>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</si>
  <si>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</si>
  <si>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</si>
  <si>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</si>
  <si>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</si>
  <si>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</si>
  <si>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</si>
  <si>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</si>
  <si>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</si>
  <si>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</si>
  <si>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</si>
  <si>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</si>
  <si>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</si>
  <si>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</si>
  <si>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</si>
  <si>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</si>
  <si>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</si>
  <si>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</si>
  <si>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</si>
  <si>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</si>
  <si>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</si>
  <si>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</si>
  <si>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</si>
  <si>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</si>
  <si>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</si>
  <si>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</si>
  <si>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</si>
  <si>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</si>
  <si>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</si>
  <si>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</si>
  <si>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</si>
  <si>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</si>
  <si>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</si>
  <si>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</si>
  <si>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</si>
  <si>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</si>
  <si>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</si>
  <si>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</si>
  <si>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</si>
  <si>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</si>
  <si>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</si>
  <si>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</si>
  <si>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</si>
  <si>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</si>
  <si>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</si>
  <si>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</si>
  <si>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</si>
  <si>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</si>
  <si>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</si>
  <si>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</si>
  <si>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</si>
  <si>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</si>
  <si>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</si>
  <si>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</si>
  <si>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</si>
  <si>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</si>
  <si>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</si>
  <si>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</si>
  <si>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</si>
  <si>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</si>
  <si>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</si>
  <si>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</si>
  <si>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</si>
  <si>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</si>
  <si>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</si>
  <si>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</si>
  <si>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</si>
  <si>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</si>
  <si>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</si>
  <si>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</si>
  <si>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</si>
  <si>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</si>
  <si>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</si>
  <si>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</si>
  <si>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</si>
  <si>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</si>
  <si>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</si>
  <si>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</si>
  <si>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</si>
  <si>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</si>
  <si>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</si>
  <si>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</si>
  <si>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</si>
  <si>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</si>
  <si>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</si>
  <si>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</si>
  <si>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</si>
  <si>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</si>
  <si>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</si>
  <si>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</si>
  <si>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</si>
  <si>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</si>
  <si>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</si>
  <si>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</si>
  <si>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</si>
  <si>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</si>
  <si>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</si>
  <si>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</si>
  <si>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</si>
  <si>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</si>
  <si>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</si>
  <si>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</si>
  <si>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</si>
  <si>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</si>
  <si>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</si>
  <si>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</si>
  <si>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</si>
  <si>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</si>
  <si>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</si>
  <si>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</si>
  <si>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</si>
  <si>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</si>
  <si>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</si>
  <si>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</si>
  <si>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</si>
  <si>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</si>
  <si>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</si>
  <si>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</si>
  <si>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</si>
  <si>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</si>
  <si>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</si>
  <si>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</si>
  <si>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</si>
  <si>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</si>
  <si>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</si>
  <si>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</si>
  <si>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</si>
  <si>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</si>
  <si>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</si>
  <si>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</si>
  <si>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</si>
  <si>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</si>
  <si>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</si>
  <si>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</si>
  <si>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</si>
  <si>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</si>
  <si>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</si>
  <si>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</si>
  <si>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</si>
  <si>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</si>
  <si>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</si>
  <si>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</si>
  <si>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</si>
  <si>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</si>
  <si>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</si>
  <si>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</si>
  <si>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</si>
  <si>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</si>
  <si>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</si>
  <si>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</si>
  <si>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</si>
  <si>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</si>
  <si>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</si>
  <si>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</si>
  <si>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</si>
  <si>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</si>
  <si>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</si>
  <si>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</si>
  <si>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</si>
  <si>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</si>
  <si>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</si>
  <si>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</si>
  <si>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</si>
  <si>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</si>
  <si>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</si>
  <si>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</si>
  <si>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</si>
  <si>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</si>
  <si>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</si>
  <si>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</si>
  <si>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</si>
  <si>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</si>
  <si>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</si>
  <si>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</si>
  <si>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</si>
  <si>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</si>
  <si>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</si>
  <si>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</si>
  <si>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</si>
  <si>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</si>
  <si>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</si>
  <si>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</si>
  <si>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</si>
  <si>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</si>
  <si>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</si>
  <si>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</si>
  <si>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</si>
  <si>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</si>
  <si>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</si>
  <si>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</si>
  <si>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</si>
  <si>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</si>
  <si>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</si>
  <si>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</si>
  <si>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</si>
  <si>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</si>
  <si>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</si>
  <si>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</si>
  <si>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</si>
  <si>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</si>
  <si>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</si>
  <si>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</si>
  <si>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</si>
  <si>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</si>
  <si>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</si>
  <si>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</si>
  <si>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</si>
  <si>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</si>
  <si>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</si>
  <si>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</si>
  <si>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</si>
  <si>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</si>
  <si>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</si>
  <si>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</si>
  <si>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</si>
  <si>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</si>
  <si>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</si>
  <si>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</si>
  <si>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</si>
  <si>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</si>
  <si>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</si>
  <si>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</si>
  <si>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</si>
  <si>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</si>
  <si>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</si>
  <si>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</si>
  <si>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</si>
  <si>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</si>
  <si>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</si>
  <si>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</si>
  <si>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</si>
  <si>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</si>
  <si>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</si>
  <si>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</si>
  <si>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</si>
  <si>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</si>
  <si>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</si>
  <si>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</si>
  <si>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</si>
  <si>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</si>
  <si>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</si>
  <si>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</si>
  <si>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</si>
  <si>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</si>
  <si>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</si>
  <si>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</si>
  <si>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</si>
  <si>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</si>
  <si>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</si>
  <si>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</si>
  <si>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</si>
  <si>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</si>
  <si>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</si>
  <si>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</si>
  <si>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</si>
  <si>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</si>
  <si>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</si>
  <si>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</si>
  <si>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</si>
  <si>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</si>
  <si>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</si>
  <si>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</si>
  <si>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</si>
  <si>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</si>
  <si>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</si>
  <si>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</si>
  <si>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</si>
  <si>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</si>
  <si>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</si>
  <si>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</si>
  <si>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</si>
  <si>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</si>
  <si>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</si>
  <si>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</si>
  <si>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</si>
  <si>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</si>
  <si>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</si>
  <si>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</si>
  <si>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</si>
  <si>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</si>
  <si>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</si>
  <si>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</si>
  <si>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</si>
  <si>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</si>
  <si>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</si>
  <si>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</si>
  <si>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</si>
  <si>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</si>
  <si>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</si>
  <si>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</si>
  <si>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</si>
  <si>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</si>
  <si>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</si>
  <si>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</si>
  <si>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</si>
  <si>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</si>
  <si>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</si>
  <si>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</si>
  <si>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</si>
  <si>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</si>
  <si>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</si>
  <si>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</si>
  <si>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</si>
  <si>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</si>
  <si>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</si>
  <si>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</si>
  <si>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</si>
  <si>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</si>
  <si>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</si>
  <si>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</si>
  <si>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</si>
  <si>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</si>
  <si>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</si>
  <si>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</si>
  <si>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</si>
  <si>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</si>
  <si>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</si>
  <si>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</si>
  <si>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</si>
  <si>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</si>
  <si>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</si>
  <si>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</si>
  <si>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</si>
  <si>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</si>
  <si>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</si>
  <si>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</si>
  <si>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</si>
  <si>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</si>
  <si>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</si>
  <si>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</si>
  <si>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</si>
  <si>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</si>
  <si>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</si>
  <si>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</si>
  <si>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</si>
  <si>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</si>
  <si>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</si>
  <si>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</si>
  <si>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</si>
  <si>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</si>
  <si>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</si>
  <si>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</si>
  <si>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</si>
  <si>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</si>
  <si>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</si>
  <si>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</si>
  <si>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</si>
  <si>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</si>
  <si>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</si>
  <si>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</si>
  <si>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</si>
  <si>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</si>
  <si>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</si>
  <si>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</si>
  <si>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</si>
  <si>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</si>
  <si>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</si>
  <si>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</si>
  <si>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</si>
  <si>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</si>
  <si>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</si>
  <si>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</si>
  <si>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</si>
  <si>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</si>
  <si>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</si>
  <si>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</si>
  <si>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</si>
  <si>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</si>
  <si>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</si>
  <si>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</si>
  <si>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</si>
  <si>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</si>
  <si>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</si>
  <si>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</si>
  <si>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</si>
  <si>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</si>
  <si>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</si>
  <si>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</si>
  <si>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</si>
  <si>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</si>
  <si>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</si>
  <si>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</si>
  <si>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</si>
  <si>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</si>
  <si>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</si>
  <si>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</si>
  <si>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</si>
  <si>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</si>
  <si>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</si>
  <si>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</si>
  <si>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</si>
  <si>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</si>
  <si>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</si>
  <si>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</si>
  <si>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</si>
  <si>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</si>
  <si>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</si>
  <si>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</si>
  <si>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</si>
  <si>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</si>
  <si>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</si>
  <si>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</si>
  <si>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</si>
  <si>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</si>
  <si>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</si>
  <si>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</si>
  <si>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</si>
  <si>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</si>
  <si>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</si>
  <si>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</si>
  <si>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</si>
  <si>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</si>
  <si>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</si>
  <si>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</si>
  <si>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</si>
  <si>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</si>
  <si>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</si>
  <si>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</si>
  <si>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</si>
  <si>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</si>
  <si>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</si>
  <si>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</si>
  <si>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</si>
  <si>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</si>
  <si>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</si>
  <si>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</si>
  <si>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</si>
  <si>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</si>
  <si>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</si>
  <si>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</si>
  <si>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</si>
  <si>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</si>
  <si>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</si>
  <si>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</si>
  <si>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</si>
  <si>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</si>
  <si>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</si>
  <si>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</si>
  <si>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</si>
  <si>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</si>
  <si>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</si>
  <si>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</si>
  <si>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</si>
  <si>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</si>
  <si>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</si>
  <si>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</si>
  <si>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</si>
  <si>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</si>
  <si>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</si>
  <si>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</si>
  <si>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</si>
  <si>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</si>
  <si>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</si>
  <si>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</si>
  <si>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</si>
  <si>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</si>
  <si>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</si>
  <si>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</si>
  <si>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</si>
  <si>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</si>
  <si>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</si>
  <si>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</si>
  <si>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</si>
  <si>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</si>
  <si>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</si>
  <si>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</si>
  <si>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</si>
  <si>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</si>
  <si>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</si>
  <si>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</si>
  <si>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</si>
  <si>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</si>
  <si>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</si>
  <si>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</si>
  <si>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</si>
  <si>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</si>
  <si>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</si>
  <si>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</si>
  <si>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</si>
  <si>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</si>
  <si>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</si>
  <si>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</si>
  <si>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</si>
  <si>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</si>
  <si>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</si>
  <si>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</si>
  <si>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</si>
  <si>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</si>
  <si>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</si>
  <si>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</si>
  <si>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</si>
  <si>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</si>
  <si>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</si>
  <si>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</si>
  <si>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</si>
  <si>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</si>
  <si>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</si>
  <si>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</si>
  <si>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</si>
  <si>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</si>
  <si>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</si>
  <si>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</si>
  <si>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</si>
  <si>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</si>
  <si>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</si>
  <si>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</si>
  <si>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</si>
  <si>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</si>
  <si>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</si>
  <si>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</si>
  <si>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</si>
  <si>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</si>
  <si>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</si>
  <si>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</si>
  <si>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</si>
  <si>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</si>
  <si>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</si>
  <si>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</si>
  <si>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</si>
  <si>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</si>
  <si>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</si>
  <si>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</si>
  <si>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</si>
  <si>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</si>
  <si>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</si>
  <si>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</si>
  <si>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</si>
  <si>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</si>
  <si>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</si>
  <si>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</si>
  <si>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</si>
  <si>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</si>
  <si>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</si>
  <si>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</si>
  <si>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</si>
  <si>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</si>
  <si>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</si>
  <si>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</si>
  <si>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</si>
  <si>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</si>
  <si>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</si>
  <si>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</si>
  <si>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</si>
  <si>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</si>
  <si>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</si>
  <si>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</si>
  <si>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</si>
  <si>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</si>
  <si>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</si>
  <si>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</si>
  <si>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</si>
  <si>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</si>
  <si>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</si>
  <si>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</si>
  <si>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</si>
  <si>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</si>
  <si>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</si>
  <si>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</si>
  <si>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</si>
  <si>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</si>
  <si>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</si>
  <si>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</si>
  <si>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</si>
  <si>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</si>
  <si>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</si>
  <si>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</si>
  <si>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</si>
  <si>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</si>
  <si>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</si>
  <si>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</si>
  <si>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</si>
  <si>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</si>
  <si>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</si>
  <si>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</si>
  <si>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</si>
  <si>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</si>
  <si>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</si>
  <si>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</si>
  <si>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</si>
  <si>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</si>
  <si>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</si>
  <si>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</si>
  <si>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</si>
  <si>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</si>
  <si>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</si>
  <si>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</si>
  <si>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</si>
  <si>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</si>
  <si>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</si>
  <si>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</si>
  <si>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</si>
  <si>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</si>
  <si>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</si>
  <si>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</si>
  <si>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</si>
  <si>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</si>
  <si>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</si>
  <si>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</si>
  <si>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</si>
  <si>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</si>
  <si>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</si>
  <si>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</si>
  <si>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</si>
  <si>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</si>
  <si>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</si>
  <si>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</si>
  <si>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</si>
  <si>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</si>
  <si>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</si>
  <si>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</si>
  <si>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</si>
  <si>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</si>
  <si>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</si>
  <si>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</si>
  <si>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</si>
  <si>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</si>
  <si>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</si>
  <si>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</si>
  <si>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</si>
  <si>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</si>
  <si>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</si>
  <si>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</si>
  <si>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</si>
  <si>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</si>
  <si>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</si>
  <si>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</si>
  <si>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</si>
  <si>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</si>
  <si>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</si>
  <si>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</si>
  <si>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</si>
  <si>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</si>
  <si>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</si>
  <si>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</si>
  <si>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</si>
  <si>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</si>
  <si>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</si>
  <si>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</si>
  <si>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</si>
  <si>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</si>
  <si>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</si>
  <si>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</si>
  <si>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</si>
  <si>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</si>
  <si>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</si>
  <si>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</si>
  <si>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</si>
  <si>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</si>
  <si>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</si>
  <si>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</si>
  <si>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</si>
  <si>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</si>
  <si>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</si>
  <si>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</si>
  <si>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</si>
  <si>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</si>
  <si>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</si>
  <si>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</si>
  <si>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</si>
  <si>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</si>
  <si>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</si>
  <si>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</si>
  <si>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</si>
  <si>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</si>
  <si>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</si>
  <si>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</si>
  <si>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</si>
  <si>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</si>
  <si>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</si>
  <si>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</si>
  <si>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</si>
  <si>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</si>
  <si>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</si>
  <si>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</si>
  <si>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</si>
  <si>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</si>
  <si>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</si>
  <si>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</si>
  <si>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</si>
  <si>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</si>
  <si>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</si>
  <si>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</si>
  <si>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</si>
  <si>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</si>
  <si>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</si>
  <si>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</si>
  <si>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</si>
  <si>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</si>
  <si>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</si>
  <si>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</si>
  <si>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</si>
  <si>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</si>
  <si>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</si>
  <si>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</si>
  <si>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</si>
  <si>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</si>
  <si>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</si>
  <si>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</si>
  <si>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</si>
  <si>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</si>
  <si>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</si>
  <si>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</si>
  <si>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</si>
  <si>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</si>
  <si>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</si>
  <si>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</si>
  <si>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</si>
  <si>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</si>
  <si>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</si>
  <si>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</si>
  <si>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</si>
  <si>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</si>
  <si>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</si>
  <si>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</si>
  <si>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</si>
  <si>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</si>
  <si>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</si>
  <si>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</si>
  <si>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</si>
  <si>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</si>
  <si>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</si>
  <si>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</si>
  <si>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</si>
  <si>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</si>
  <si>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</si>
  <si>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</si>
  <si>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</si>
  <si>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</si>
  <si>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</si>
  <si>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</si>
  <si>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</si>
  <si>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</si>
  <si>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</si>
  <si>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</si>
  <si>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</si>
  <si>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</si>
  <si>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</si>
  <si>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</si>
  <si>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</si>
  <si>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</si>
  <si>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</si>
  <si>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</si>
  <si>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</si>
  <si>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</si>
  <si>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</si>
  <si>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</si>
  <si>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</si>
  <si>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</si>
  <si>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</si>
  <si>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</si>
  <si>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</si>
  <si>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</si>
  <si>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</si>
  <si>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</si>
  <si>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</si>
  <si>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</si>
  <si>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</si>
  <si>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</si>
  <si>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</si>
  <si>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</si>
  <si>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</si>
  <si>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</si>
  <si>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</si>
  <si>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</si>
  <si>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</si>
  <si>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</si>
  <si>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</si>
  <si>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</si>
  <si>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</si>
  <si>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</si>
  <si>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</si>
  <si>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</si>
  <si>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</si>
  <si>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</si>
  <si>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</si>
  <si>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</si>
  <si>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</si>
  <si>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</si>
  <si>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</si>
  <si>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</si>
  <si>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</si>
  <si>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</si>
  <si>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</si>
  <si>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</si>
  <si>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</si>
  <si>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</si>
  <si>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</si>
  <si>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</si>
  <si>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</si>
  <si>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</si>
  <si>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</si>
  <si>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</si>
  <si>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</si>
  <si>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</si>
  <si>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</si>
  <si>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</si>
  <si>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</si>
  <si>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</si>
  <si>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</si>
  <si>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</si>
  <si>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</si>
  <si>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</si>
  <si>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</si>
  <si>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</si>
  <si>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</si>
  <si>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</si>
  <si>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</si>
  <si>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</si>
  <si>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</si>
  <si>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</si>
  <si>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</si>
  <si>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</si>
  <si>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</si>
  <si>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</si>
  <si>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</si>
  <si>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</si>
  <si>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</si>
  <si>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</si>
  <si>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</si>
  <si>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</si>
  <si>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</si>
  <si>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</si>
  <si>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</si>
  <si>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</si>
  <si>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</si>
  <si>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</si>
  <si>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</si>
  <si>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</si>
  <si>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</si>
  <si>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</si>
  <si>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</si>
  <si>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</si>
  <si>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</si>
  <si>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</si>
  <si>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</si>
  <si>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</si>
  <si>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</si>
  <si>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</si>
  <si>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</si>
  <si>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</si>
  <si>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</si>
  <si>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</si>
  <si>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</si>
  <si>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</si>
  <si>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</si>
  <si>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</si>
  <si>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</si>
  <si>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</si>
  <si>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</si>
  <si>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</si>
  <si>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</si>
  <si>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</si>
  <si>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</si>
  <si>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</si>
  <si>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</si>
  <si>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</si>
  <si>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</si>
  <si>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</si>
  <si>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</si>
  <si>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</si>
  <si>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</si>
  <si>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</si>
  <si>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</si>
  <si>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</si>
  <si>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</si>
  <si>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</si>
  <si>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</si>
  <si>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</si>
  <si>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</si>
  <si>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</si>
  <si>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</si>
  <si>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</si>
  <si>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</si>
  <si>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</si>
  <si>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</si>
  <si>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</si>
  <si>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</si>
  <si>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</si>
  <si>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</si>
  <si>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</si>
  <si>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</si>
  <si>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</si>
  <si>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</si>
  <si>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</si>
  <si>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</si>
  <si>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</si>
  <si>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</si>
  <si>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</si>
  <si>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</si>
  <si>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</si>
  <si>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</si>
  <si>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</si>
  <si>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</si>
  <si>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</si>
  <si>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</si>
  <si>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</si>
  <si>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</si>
  <si>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</si>
  <si>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</si>
  <si>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</si>
  <si>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</si>
  <si>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</si>
  <si>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</si>
  <si>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</si>
  <si>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</si>
  <si>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</si>
  <si>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</si>
  <si>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</si>
  <si>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</si>
  <si>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</si>
  <si>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</si>
  <si>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</si>
  <si>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</si>
  <si>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</si>
  <si>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</si>
  <si>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</si>
  <si>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</si>
  <si>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</si>
  <si>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</si>
  <si>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</si>
  <si>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</si>
  <si>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</si>
  <si>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</si>
  <si>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</si>
  <si>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</si>
  <si>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</si>
  <si>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</si>
  <si>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</si>
  <si>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</si>
  <si>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</si>
  <si>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</si>
  <si>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</si>
  <si>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</si>
  <si>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</si>
  <si>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</si>
  <si>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</si>
  <si>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</si>
  <si>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</si>
  <si>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</si>
  <si>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</si>
  <si>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</si>
  <si>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</si>
  <si>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</si>
  <si>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</si>
  <si>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</si>
  <si>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</si>
  <si>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</si>
  <si>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</si>
  <si>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</si>
  <si>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</si>
  <si>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</si>
  <si>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</si>
  <si>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</si>
  <si>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</si>
  <si>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</si>
  <si>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</si>
  <si>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</si>
  <si>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</si>
  <si>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</si>
  <si>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</si>
  <si>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</si>
  <si>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</si>
  <si>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</si>
  <si>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</si>
  <si>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</si>
  <si>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</si>
  <si>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</si>
  <si>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</si>
  <si>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</si>
  <si>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</si>
  <si>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</si>
  <si>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</si>
  <si>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</si>
  <si>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</si>
  <si>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</si>
  <si>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</si>
  <si>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</si>
  <si>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</si>
  <si>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</si>
  <si>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</si>
  <si>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</si>
  <si>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</si>
  <si>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</si>
  <si>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</si>
  <si>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</si>
  <si>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</si>
  <si>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</si>
  <si>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</si>
  <si>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</si>
  <si>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</si>
  <si>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</si>
  <si>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</si>
  <si>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</si>
  <si>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</si>
  <si>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</si>
  <si>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</si>
  <si>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</si>
  <si>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</si>
  <si>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</si>
  <si>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</si>
  <si>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</si>
  <si>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</si>
  <si>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</si>
  <si>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</si>
  <si>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</si>
  <si>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</si>
  <si>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</si>
  <si>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</si>
  <si>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</si>
  <si>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</si>
  <si>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</si>
  <si>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</si>
  <si>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</si>
  <si>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</si>
  <si>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</si>
  <si>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</si>
  <si>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</si>
  <si>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</si>
  <si>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</si>
  <si>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</si>
  <si>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</si>
  <si>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</si>
  <si>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</si>
  <si>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</si>
  <si>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</si>
  <si>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</si>
  <si>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</si>
  <si>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</si>
  <si>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</si>
  <si>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</si>
  <si>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</si>
  <si>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</si>
  <si>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</si>
  <si>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</si>
  <si>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</si>
  <si>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</si>
  <si>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</si>
  <si>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</si>
  <si>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</si>
  <si>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</si>
  <si>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</si>
  <si>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</si>
  <si>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</si>
  <si>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</si>
  <si>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</si>
  <si>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</si>
  <si>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</si>
  <si>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</si>
  <si>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</si>
  <si>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</si>
  <si>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</si>
  <si>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</si>
  <si>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</si>
  <si>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</si>
  <si>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</si>
  <si>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</si>
  <si>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</si>
  <si>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</si>
  <si>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</si>
  <si>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</si>
  <si>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</si>
  <si>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</si>
  <si>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</si>
  <si>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</si>
  <si>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</si>
  <si>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</si>
  <si>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</si>
  <si>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</si>
  <si>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</si>
  <si>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</si>
  <si>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</si>
  <si>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</si>
  <si>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</si>
  <si>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</si>
  <si>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</si>
  <si>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</si>
  <si>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</si>
  <si>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</si>
  <si>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</si>
  <si>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</si>
  <si>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</si>
  <si>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</si>
  <si>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</si>
  <si>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</si>
  <si>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</si>
  <si>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</si>
  <si>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</si>
  <si>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</si>
  <si>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</si>
  <si>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</si>
  <si>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</si>
  <si>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</si>
  <si>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</si>
  <si>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</si>
  <si>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</si>
  <si>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</si>
  <si>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</si>
  <si>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</si>
  <si>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</si>
  <si>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</si>
  <si>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</si>
  <si>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</si>
  <si>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</si>
  <si>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</si>
  <si>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</si>
  <si>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</si>
  <si>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</si>
  <si>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</si>
  <si>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</si>
  <si>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</si>
  <si>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</si>
  <si>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</si>
  <si>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</si>
  <si>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</si>
  <si>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</si>
  <si>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</si>
  <si>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</si>
  <si>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</si>
  <si>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</si>
  <si>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</si>
  <si>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</si>
  <si>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</si>
  <si>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</si>
  <si>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</si>
  <si>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</si>
  <si>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</si>
  <si>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</si>
  <si>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</si>
  <si>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</si>
  <si>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</si>
  <si>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</si>
  <si>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</si>
  <si>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</si>
  <si>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</si>
  <si>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</si>
  <si>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</si>
  <si>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</si>
  <si>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</si>
  <si>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</si>
  <si>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</si>
  <si>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</si>
  <si>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</si>
  <si>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</si>
  <si>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</si>
  <si>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</si>
  <si>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</si>
  <si>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</si>
  <si>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</si>
  <si>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</si>
  <si>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</si>
  <si>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</si>
  <si>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</si>
  <si>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</si>
  <si>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</si>
  <si>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</si>
  <si>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</si>
  <si>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</si>
  <si>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</si>
  <si>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</si>
  <si>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</si>
  <si>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</si>
  <si>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</si>
  <si>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</si>
  <si>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</si>
  <si>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</si>
  <si>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</si>
  <si>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</si>
  <si>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</si>
  <si>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</si>
  <si>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</si>
  <si>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</si>
  <si>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</si>
  <si>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</si>
  <si>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</si>
  <si>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</si>
  <si>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</si>
  <si>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</si>
  <si>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</si>
  <si>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</si>
  <si>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</si>
  <si>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</si>
  <si>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</si>
  <si>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</si>
  <si>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</si>
  <si>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</si>
  <si>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</si>
  <si>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</si>
  <si>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</si>
  <si>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</si>
  <si>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</si>
  <si>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</si>
  <si>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</si>
  <si>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</si>
  <si>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</si>
  <si>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</si>
  <si>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</si>
  <si>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</si>
  <si>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</si>
  <si>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</si>
  <si>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</si>
  <si>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</si>
  <si>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</si>
  <si>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</si>
  <si>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</si>
  <si>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</si>
  <si>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</si>
  <si>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</si>
  <si>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</si>
  <si>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</si>
  <si>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</si>
  <si>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</si>
  <si>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</si>
  <si>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</si>
  <si>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</si>
  <si>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</si>
  <si>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</si>
  <si>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</si>
  <si>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</si>
  <si>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</si>
  <si>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</si>
  <si>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</si>
  <si>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</si>
  <si>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</si>
  <si>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</si>
  <si>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</si>
  <si>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</si>
  <si>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</si>
  <si>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</si>
  <si>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</si>
  <si>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</si>
  <si>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</si>
  <si>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</si>
  <si>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</si>
  <si>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</si>
  <si>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</si>
  <si>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</si>
  <si>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</si>
  <si>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</si>
  <si>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</si>
  <si>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</si>
  <si>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</si>
  <si>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</si>
  <si>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</si>
  <si>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</si>
  <si>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</si>
  <si>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</si>
  <si>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</si>
  <si>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</si>
  <si>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</si>
  <si>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</si>
  <si>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</si>
  <si>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</si>
  <si>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</si>
  <si>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</si>
  <si>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</si>
  <si>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</si>
  <si>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</si>
  <si>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</si>
  <si>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</si>
  <si>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</si>
  <si>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</si>
  <si>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</si>
  <si>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</si>
  <si>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</si>
  <si>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</si>
  <si>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</si>
  <si>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</si>
  <si>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</si>
  <si>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</si>
  <si>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</si>
  <si>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</si>
  <si>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</si>
  <si>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</si>
  <si>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</si>
  <si>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</si>
  <si>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</si>
  <si>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</si>
  <si>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</si>
  <si>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</si>
  <si>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</si>
  <si>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</si>
  <si>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</si>
  <si>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</si>
  <si>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</si>
  <si>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</si>
  <si>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</si>
  <si>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</si>
  <si>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</si>
  <si>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</si>
  <si>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</si>
  <si>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</si>
  <si>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</si>
  <si>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</si>
  <si>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</si>
  <si>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</si>
  <si>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</si>
  <si>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</si>
  <si>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</si>
  <si>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</si>
  <si>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</si>
  <si>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</si>
  <si>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</si>
  <si>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</si>
  <si>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</si>
  <si>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</si>
  <si>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</si>
  <si>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</si>
  <si>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</si>
  <si>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</si>
  <si>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</si>
  <si>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</si>
  <si>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</si>
  <si>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</si>
  <si>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</si>
  <si>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</si>
  <si>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</si>
  <si>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</si>
  <si>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</si>
  <si>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</si>
  <si>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</si>
  <si>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</si>
  <si>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</si>
  <si>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</si>
  <si>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</si>
  <si>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</si>
  <si>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</si>
  <si>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</si>
  <si>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</si>
  <si>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</si>
  <si>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</si>
  <si>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</si>
  <si>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</si>
  <si>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</si>
  <si>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</si>
  <si>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</si>
  <si>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</si>
  <si>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</si>
  <si>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</si>
  <si>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</si>
  <si>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</si>
  <si>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</si>
  <si>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</si>
  <si>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</si>
  <si>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</si>
  <si>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</si>
  <si>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</si>
  <si>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</si>
  <si>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</si>
  <si>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</si>
  <si>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</si>
  <si>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</si>
  <si>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</si>
  <si>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</si>
  <si>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</si>
  <si>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</si>
  <si>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</si>
  <si>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</si>
  <si>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</si>
  <si>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</si>
  <si>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</si>
  <si>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</si>
  <si>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</si>
  <si>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</si>
  <si>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</si>
  <si>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</si>
  <si>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</si>
  <si>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</si>
  <si>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</si>
  <si>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</si>
  <si>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</si>
  <si>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</si>
  <si>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</si>
  <si>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</si>
  <si>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</si>
  <si>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</si>
  <si>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</si>
  <si>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</si>
  <si>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</si>
  <si>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</si>
  <si>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</si>
  <si>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</si>
  <si>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</si>
  <si>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</si>
  <si>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</si>
  <si>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</si>
  <si>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</si>
  <si>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</si>
  <si>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</si>
  <si>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</si>
  <si>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</si>
  <si>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</si>
  <si>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</si>
  <si>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</si>
  <si>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</si>
  <si>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</si>
  <si>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</si>
  <si>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</si>
  <si>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</si>
  <si>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</si>
  <si>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</si>
  <si>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</si>
  <si>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</si>
  <si>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</si>
  <si>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</si>
  <si>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</si>
  <si>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</si>
  <si>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</si>
  <si>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</si>
  <si>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</si>
  <si>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</si>
  <si>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</si>
  <si>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</si>
  <si>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</si>
  <si>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</si>
  <si>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</si>
  <si>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</si>
  <si>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</si>
  <si>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</si>
  <si>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</si>
  <si>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</si>
  <si>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</si>
  <si>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</si>
  <si>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</si>
  <si>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</si>
  <si>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</si>
  <si>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</si>
  <si>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</si>
  <si>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</si>
  <si>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</si>
  <si>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</si>
  <si>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</si>
  <si>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</si>
  <si>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</si>
  <si>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</si>
  <si>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</si>
  <si>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</si>
  <si>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</si>
  <si>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</si>
  <si>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</si>
  <si>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</si>
  <si>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</si>
  <si>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</si>
  <si>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</si>
  <si>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</si>
  <si>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</si>
  <si>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</si>
  <si>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</si>
  <si>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</si>
  <si>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</si>
  <si>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</si>
  <si>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</si>
  <si>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</si>
  <si>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</si>
  <si>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</si>
  <si>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</si>
  <si>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</si>
  <si>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</si>
  <si>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</si>
  <si>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</si>
  <si>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</si>
  <si>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</si>
  <si>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</si>
  <si>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</si>
  <si>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</si>
  <si>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</si>
  <si>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</si>
  <si>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</si>
  <si>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</si>
  <si>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</si>
  <si>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</si>
  <si>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</si>
  <si>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</si>
  <si>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</si>
  <si>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</si>
  <si>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</si>
  <si>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</si>
  <si>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</si>
  <si>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</si>
  <si>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</si>
  <si>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</si>
  <si>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</si>
  <si>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</si>
  <si>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</si>
  <si>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</si>
  <si>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</si>
  <si>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</si>
  <si>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</si>
  <si>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</si>
  <si>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</si>
  <si>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</si>
  <si>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</si>
  <si>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</si>
  <si>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</si>
  <si>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</si>
  <si>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</si>
  <si>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</si>
  <si>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</si>
  <si>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</si>
  <si>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</si>
  <si>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</si>
  <si>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</si>
  <si>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</si>
  <si>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</si>
  <si>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</si>
  <si>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</si>
  <si>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</si>
  <si>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</si>
  <si>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</si>
  <si>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</si>
  <si>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</si>
  <si>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</si>
  <si>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</si>
  <si>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</si>
  <si>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</si>
  <si>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</si>
  <si>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</si>
  <si>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</si>
  <si>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</si>
  <si>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</si>
  <si>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</si>
  <si>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</si>
  <si>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</si>
  <si>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</si>
  <si>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</si>
  <si>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</si>
  <si>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</si>
  <si>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</si>
  <si>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</si>
  <si>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</si>
  <si>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</si>
  <si>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</si>
  <si>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</si>
  <si>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</si>
  <si>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</si>
  <si>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</si>
  <si>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</si>
  <si>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</si>
  <si>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</si>
  <si>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</si>
  <si>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</si>
  <si>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</si>
  <si>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</si>
  <si>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</si>
  <si>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</si>
  <si>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</si>
  <si>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</si>
  <si>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</si>
  <si>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</si>
  <si>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</si>
  <si>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</si>
  <si>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</si>
  <si>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</si>
  <si>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</si>
  <si>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</si>
  <si>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</si>
  <si>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</si>
  <si>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</si>
  <si>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</si>
  <si>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</si>
  <si>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</si>
  <si>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</si>
  <si>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</si>
  <si>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</si>
  <si>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</si>
  <si>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</si>
  <si>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</si>
  <si>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</si>
  <si>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</si>
  <si>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</si>
  <si>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</si>
  <si>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</si>
  <si>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</si>
  <si>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</si>
  <si>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</si>
  <si>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</si>
  <si>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</si>
  <si>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</si>
  <si>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</si>
  <si>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</si>
  <si>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</si>
  <si>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</si>
  <si>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</si>
  <si>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</si>
  <si>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</si>
  <si>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</si>
  <si>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</si>
  <si>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</si>
  <si>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</si>
  <si>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</si>
  <si>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</si>
  <si>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</si>
  <si>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</si>
  <si>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</si>
  <si>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</si>
  <si>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</si>
  <si>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</si>
  <si>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</si>
  <si>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</si>
  <si>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</si>
  <si>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</si>
  <si>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</si>
  <si>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</si>
  <si>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</si>
  <si>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</si>
  <si>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</si>
  <si>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</si>
  <si>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</si>
  <si>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</si>
  <si>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</si>
  <si>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</si>
  <si>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</si>
  <si>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</si>
  <si>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</si>
  <si>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</si>
  <si>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</si>
  <si>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</si>
  <si>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</si>
  <si>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</si>
  <si>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</si>
  <si>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</si>
  <si>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</si>
  <si>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</si>
  <si>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</si>
  <si>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</si>
  <si>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</si>
  <si>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</si>
  <si>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</si>
  <si>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</si>
  <si>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</si>
  <si>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</si>
  <si>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</si>
  <si>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</si>
  <si>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</si>
  <si>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</si>
  <si>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</si>
  <si>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</si>
  <si>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</si>
  <si>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</si>
  <si>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</si>
  <si>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</si>
  <si>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</si>
  <si>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</si>
  <si>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</si>
  <si>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</si>
  <si>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</si>
  <si>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</si>
  <si>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</si>
  <si>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</si>
  <si>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</si>
  <si>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</si>
  <si>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</si>
  <si>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</si>
  <si>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</si>
  <si>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</si>
  <si>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</si>
  <si>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</si>
  <si>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</si>
  <si>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</si>
  <si>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</si>
  <si>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</si>
  <si>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</si>
  <si>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</si>
  <si>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</si>
  <si>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</si>
  <si>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</si>
  <si>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</si>
  <si>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</si>
  <si>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</si>
  <si>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</si>
  <si>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</si>
  <si>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</si>
  <si>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</si>
  <si>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</si>
  <si>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</si>
  <si>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</si>
  <si>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</si>
  <si>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</si>
  <si>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</si>
  <si>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</si>
  <si>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</si>
  <si>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</si>
  <si>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</si>
  <si>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</si>
  <si>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</si>
  <si>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</si>
  <si>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</si>
  <si>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</si>
  <si>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</si>
  <si>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</si>
  <si>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</si>
  <si>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</si>
  <si>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</si>
  <si>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</si>
  <si>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</si>
  <si>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</si>
  <si>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</si>
  <si>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</si>
  <si>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</si>
  <si>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</si>
  <si>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</si>
  <si>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</si>
  <si>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</si>
  <si>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</si>
  <si>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</si>
  <si>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</si>
  <si>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</si>
  <si>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</si>
  <si>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</si>
  <si>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</si>
  <si>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</si>
  <si>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</si>
  <si>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</si>
  <si>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</si>
  <si>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</si>
  <si>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</si>
  <si>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</si>
  <si>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</si>
  <si>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</si>
  <si>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</si>
  <si>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</si>
  <si>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</si>
  <si>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</si>
  <si>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</si>
  <si>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</si>
  <si>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</si>
  <si>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</si>
  <si>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</si>
  <si>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</si>
  <si>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</si>
  <si>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</si>
  <si>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</si>
  <si>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</si>
  <si>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</si>
  <si>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</si>
  <si>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</si>
  <si>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</si>
  <si>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</si>
  <si>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</si>
  <si>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</si>
  <si>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</si>
  <si>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</si>
  <si>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</si>
  <si>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</si>
  <si>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</si>
  <si>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</si>
  <si>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</si>
  <si>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</si>
  <si>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</si>
  <si>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</si>
  <si>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</si>
  <si>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</si>
  <si>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</si>
  <si>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</si>
  <si>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</si>
  <si>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</si>
  <si>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</si>
  <si>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</si>
  <si>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</si>
  <si>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</si>
  <si>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</si>
  <si>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</si>
  <si>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</si>
  <si>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</si>
  <si>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</si>
  <si>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</si>
  <si>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</si>
  <si>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</si>
  <si>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</si>
  <si>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</si>
  <si>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</si>
  <si>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</si>
  <si>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</si>
  <si>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</si>
  <si>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</si>
  <si>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</si>
  <si>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</si>
  <si>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</si>
  <si>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</si>
  <si>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</si>
  <si>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</si>
  <si>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</si>
  <si>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</si>
  <si>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</si>
  <si>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</si>
  <si>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</si>
  <si>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</si>
  <si>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</si>
  <si>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</si>
  <si>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</si>
  <si>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</si>
  <si>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</si>
  <si>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</si>
  <si>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</si>
  <si>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</si>
  <si>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</si>
  <si>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</si>
  <si>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</si>
  <si>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</si>
  <si>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</si>
  <si>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</si>
  <si>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</si>
  <si>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</si>
  <si>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</si>
  <si>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</si>
  <si>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</si>
  <si>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</si>
  <si>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</si>
  <si>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</si>
  <si>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</si>
  <si>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</si>
  <si>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</si>
  <si>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</si>
  <si>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</si>
  <si>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</si>
  <si>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</si>
  <si>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</si>
  <si>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</si>
  <si>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</si>
  <si>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</si>
  <si>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</si>
  <si>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</si>
  <si>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</si>
  <si>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</si>
  <si>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</si>
  <si>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</si>
  <si>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</si>
  <si>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</si>
  <si>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</si>
  <si>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</si>
  <si>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</si>
  <si>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</si>
  <si>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</si>
  <si>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</si>
  <si>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</si>
  <si>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</si>
  <si>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</si>
  <si>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</si>
  <si>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</si>
  <si>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</si>
  <si>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</si>
  <si>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</si>
  <si>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</si>
  <si>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</si>
  <si>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</si>
  <si>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</si>
  <si>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</si>
  <si>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</si>
  <si>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</si>
  <si>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</si>
  <si>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</si>
  <si>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</si>
  <si>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</si>
  <si>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</si>
  <si>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</si>
  <si>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</si>
  <si>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</si>
  <si>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</si>
  <si>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</si>
  <si>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</si>
  <si>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</si>
  <si>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</si>
  <si>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</si>
  <si>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</si>
  <si>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</si>
  <si>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</si>
  <si>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</si>
  <si>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</si>
  <si>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</si>
  <si>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</si>
  <si>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</si>
  <si>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</si>
  <si>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</si>
  <si>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</si>
  <si>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</si>
  <si>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</si>
  <si>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</si>
  <si>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</si>
  <si>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</si>
  <si>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</si>
  <si>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</si>
  <si>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</si>
  <si>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</si>
  <si>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</si>
  <si>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</si>
  <si>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</si>
  <si>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</si>
  <si>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</si>
  <si>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</si>
  <si>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</si>
  <si>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</si>
  <si>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</si>
  <si>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</si>
  <si>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</si>
  <si>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</si>
  <si>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</si>
  <si>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</si>
  <si>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</si>
  <si>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</si>
  <si>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</si>
  <si>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</si>
  <si>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</si>
  <si>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</si>
  <si>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</si>
  <si>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</si>
  <si>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</si>
  <si>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</si>
  <si>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</si>
  <si>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</si>
  <si>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</si>
  <si>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</si>
  <si>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</si>
  <si>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</si>
  <si>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</si>
  <si>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</si>
  <si>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</si>
  <si>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</si>
  <si>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</si>
  <si>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</si>
  <si>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</si>
  <si>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</si>
  <si>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</si>
  <si>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</si>
  <si>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</si>
  <si>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</si>
  <si>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</si>
  <si>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</si>
  <si>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</si>
  <si>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</si>
  <si>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</si>
  <si>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</si>
  <si>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</si>
  <si>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</si>
  <si>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</si>
  <si>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</si>
  <si>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</si>
  <si>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</si>
  <si>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</si>
  <si>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</si>
  <si>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</si>
  <si>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</si>
  <si>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</si>
  <si>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</si>
  <si>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</si>
  <si>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</si>
  <si>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</si>
  <si>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</si>
  <si>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</si>
  <si>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</si>
  <si>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</si>
  <si>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</si>
  <si>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</si>
  <si>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</si>
  <si>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</si>
  <si>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</si>
  <si>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</si>
  <si>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</si>
  <si>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</si>
  <si>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</si>
  <si>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</si>
  <si>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</si>
  <si>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</si>
  <si>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</si>
  <si>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</si>
  <si>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</si>
  <si>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</si>
  <si>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</si>
  <si>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</si>
  <si>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</si>
  <si>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</si>
  <si>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</si>
  <si>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</si>
  <si>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</si>
  <si>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</si>
  <si>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</si>
  <si>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</si>
  <si>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</si>
  <si>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</si>
  <si>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</si>
  <si>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</si>
  <si>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</si>
  <si>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</si>
  <si>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</si>
  <si>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</si>
  <si>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</si>
  <si>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</si>
  <si>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</si>
  <si>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</si>
  <si>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</si>
  <si>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</si>
  <si>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</si>
  <si>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</si>
  <si>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</si>
  <si>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</si>
  <si>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</si>
  <si>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</si>
  <si>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</si>
  <si>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</si>
  <si>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</si>
  <si>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</si>
  <si>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</si>
  <si>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</si>
  <si>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</si>
  <si>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</si>
  <si>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</si>
  <si>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</si>
  <si>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</si>
  <si>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</si>
  <si>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</si>
  <si>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</si>
  <si>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</si>
  <si>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</si>
  <si>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</si>
  <si>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</si>
  <si>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</si>
  <si>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</si>
  <si>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</si>
  <si>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</si>
  <si>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</si>
  <si>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</si>
  <si>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</si>
  <si>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</si>
  <si>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</si>
  <si>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</si>
  <si>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</si>
  <si>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</si>
  <si>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</si>
  <si>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</si>
  <si>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</si>
  <si>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</si>
  <si>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</si>
  <si>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</si>
  <si>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</si>
  <si>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</si>
  <si>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</si>
  <si>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</si>
  <si>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</si>
  <si>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</si>
  <si>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</si>
  <si>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</si>
  <si>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</si>
  <si>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</si>
  <si>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</si>
  <si>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</si>
  <si>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</si>
  <si>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</si>
  <si>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</si>
  <si>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</si>
  <si>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</si>
  <si>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</si>
  <si>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</si>
  <si>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</si>
  <si>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</si>
  <si>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</si>
  <si>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</si>
  <si>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</si>
  <si>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</si>
  <si>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</si>
  <si>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</si>
  <si>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</si>
  <si>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</si>
  <si>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</si>
  <si>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</si>
  <si>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</si>
  <si>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</si>
  <si>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</si>
  <si>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</si>
  <si>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</si>
  <si>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</si>
  <si>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</si>
  <si>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</si>
  <si>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</si>
  <si>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</si>
  <si>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</si>
  <si>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</si>
  <si>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</si>
  <si>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</si>
  <si>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</si>
  <si>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</si>
  <si>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</si>
  <si>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</si>
  <si>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</si>
  <si>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</si>
  <si>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</si>
  <si>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</si>
  <si>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</si>
  <si>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</si>
  <si>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</si>
  <si>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</si>
  <si>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</si>
  <si>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</si>
  <si>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</si>
  <si>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</si>
  <si>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</si>
  <si>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</si>
  <si>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</si>
  <si>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</si>
  <si>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</si>
  <si>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</si>
  <si>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</si>
  <si>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</si>
  <si>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</si>
  <si>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</si>
  <si>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</si>
  <si>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</si>
  <si>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</si>
  <si>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</si>
  <si>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</si>
  <si>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</si>
  <si>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</si>
  <si>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</si>
  <si>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</si>
  <si>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</si>
  <si>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</si>
  <si>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</si>
  <si>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</si>
  <si>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</si>
  <si>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</si>
  <si>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</si>
  <si>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</si>
  <si>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</si>
  <si>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</si>
  <si>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</si>
  <si>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</si>
  <si>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</si>
  <si>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</si>
  <si>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</si>
  <si>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</si>
  <si>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</si>
  <si>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</si>
  <si>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</si>
  <si>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</si>
  <si>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</si>
  <si>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</si>
  <si>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</si>
  <si>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</si>
  <si>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</si>
  <si>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</si>
  <si>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</si>
  <si>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</si>
  <si>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</si>
  <si>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</si>
  <si>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</si>
  <si>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</si>
  <si>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</si>
  <si>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</si>
  <si>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</si>
  <si>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</si>
  <si>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</si>
  <si>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</si>
  <si>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</si>
  <si>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</si>
  <si>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</si>
  <si>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</si>
  <si>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</si>
  <si>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</si>
  <si>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</si>
  <si>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</si>
  <si>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</si>
  <si>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</si>
  <si>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</si>
  <si>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</si>
  <si>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</si>
  <si>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</si>
  <si>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</si>
  <si>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</si>
  <si>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</si>
  <si>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</si>
  <si>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</si>
  <si>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</si>
  <si>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</si>
  <si>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</si>
  <si>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</si>
  <si>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</si>
  <si>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</si>
  <si>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</si>
  <si>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</si>
  <si>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</si>
  <si>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</si>
  <si>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</si>
  <si>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</si>
  <si>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</si>
  <si>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</si>
  <si>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</si>
  <si>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</si>
  <si>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</si>
  <si>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</si>
  <si>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</si>
  <si>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</si>
  <si>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</si>
  <si>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</si>
  <si>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</si>
  <si>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</si>
  <si>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</si>
  <si>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</si>
  <si>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</si>
  <si>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</si>
  <si>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</si>
  <si>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</si>
  <si>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</si>
  <si>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</si>
  <si>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</si>
  <si>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</si>
  <si>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</si>
  <si>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</si>
  <si>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</si>
  <si>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</si>
  <si>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</si>
  <si>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</si>
  <si>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</si>
  <si>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</si>
  <si>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</si>
  <si>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</si>
  <si>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</si>
  <si>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</si>
  <si>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</si>
  <si>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</si>
  <si>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</si>
  <si>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</si>
  <si>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</si>
  <si>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</si>
  <si>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</si>
  <si>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</si>
  <si>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</si>
  <si>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</si>
  <si>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</si>
  <si>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</si>
  <si>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</si>
  <si>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</si>
  <si>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</si>
  <si>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</si>
  <si>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</si>
  <si>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</si>
  <si>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</si>
  <si>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</si>
  <si>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</si>
  <si>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</si>
  <si>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</si>
  <si>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</si>
  <si>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</si>
  <si>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</si>
  <si>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</si>
  <si>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</si>
  <si>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</si>
  <si>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</si>
  <si>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</si>
  <si>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</si>
  <si>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</si>
  <si>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</si>
  <si>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</si>
  <si>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</si>
  <si>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</si>
  <si>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</si>
  <si>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</si>
  <si>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</si>
  <si>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</si>
  <si>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</si>
  <si>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</si>
  <si>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</si>
  <si>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</si>
  <si>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</si>
  <si>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</si>
  <si>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</si>
  <si>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</si>
  <si>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</si>
  <si>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</si>
  <si>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</si>
  <si>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</si>
  <si>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</si>
  <si>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</si>
  <si>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</si>
  <si>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</si>
  <si>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</si>
  <si>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</si>
  <si>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</si>
  <si>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</si>
  <si>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</si>
  <si>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</si>
  <si>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</si>
  <si>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</si>
  <si>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</si>
  <si>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</si>
  <si>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</si>
  <si>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</si>
  <si>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</si>
  <si>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</si>
  <si>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</si>
  <si>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</si>
  <si>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</si>
  <si>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</si>
  <si>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</si>
  <si>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</si>
  <si>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</si>
  <si>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</si>
  <si>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</si>
  <si>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</si>
  <si>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</si>
  <si>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</si>
  <si>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</si>
  <si>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</si>
  <si>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</si>
  <si>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</si>
  <si>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</si>
  <si>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</si>
  <si>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</si>
  <si>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</si>
  <si>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</si>
  <si>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</si>
  <si>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</si>
  <si>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</si>
  <si>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</si>
  <si>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</si>
  <si>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</si>
  <si>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</si>
  <si>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</si>
  <si>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</si>
  <si>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</si>
  <si>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</si>
  <si>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</si>
  <si>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</si>
  <si>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</si>
  <si>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</si>
  <si>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</si>
  <si>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</si>
  <si>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</si>
  <si>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</si>
  <si>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</si>
  <si>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</si>
  <si>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</si>
  <si>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</si>
  <si>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</si>
  <si>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</si>
  <si>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</si>
  <si>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</si>
  <si>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</si>
  <si>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</si>
  <si>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</si>
  <si>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</si>
  <si>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</si>
  <si>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</si>
  <si>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</si>
  <si>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</si>
  <si>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</si>
  <si>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</si>
  <si>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</si>
  <si>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</si>
  <si>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</si>
  <si>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</si>
  <si>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</si>
  <si>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</si>
  <si>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</si>
  <si>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</si>
  <si>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</si>
  <si>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</si>
  <si>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</si>
  <si>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</si>
  <si>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</si>
  <si>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</si>
  <si>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</si>
  <si>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</si>
  <si>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</si>
  <si>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</si>
  <si>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</si>
  <si>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</si>
  <si>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</si>
  <si>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</si>
  <si>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</si>
  <si>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</si>
  <si>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</si>
  <si>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</si>
  <si>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</si>
  <si>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</si>
  <si>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</si>
  <si>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</si>
  <si>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</si>
  <si>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</si>
  <si>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</si>
  <si>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</si>
  <si>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</si>
  <si>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</si>
  <si>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</si>
  <si>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</si>
  <si>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</si>
  <si>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</si>
  <si>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</si>
  <si>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</si>
  <si>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</si>
  <si>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</si>
  <si>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</si>
  <si>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</si>
  <si>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</si>
  <si>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</si>
  <si>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</si>
  <si>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</si>
  <si>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</si>
  <si>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</si>
  <si>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</si>
  <si>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</si>
  <si>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</si>
  <si>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</si>
  <si>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</si>
  <si>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</si>
  <si>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</si>
  <si>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</si>
  <si>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</si>
  <si>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</si>
  <si>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</si>
  <si>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</si>
  <si>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</si>
  <si>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</si>
  <si>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</si>
  <si>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</si>
  <si>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</si>
  <si>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</si>
  <si>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</si>
  <si>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</si>
  <si>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</si>
  <si>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</si>
  <si>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</si>
  <si>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</si>
  <si>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</si>
  <si>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</si>
  <si>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</si>
  <si>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</si>
  <si>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</si>
  <si>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</si>
  <si>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</si>
  <si>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</si>
  <si>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</si>
  <si>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</si>
  <si>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</si>
  <si>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</si>
  <si>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</si>
  <si>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</si>
  <si>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</si>
  <si>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</si>
  <si>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</si>
  <si>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</si>
  <si>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</si>
  <si>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</si>
  <si>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</si>
  <si>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</si>
  <si>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</si>
  <si>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</si>
  <si>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</si>
  <si>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</si>
  <si>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</si>
  <si>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</si>
  <si>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</si>
  <si>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</si>
  <si>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</si>
  <si>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</si>
  <si>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</si>
  <si>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</si>
  <si>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</si>
  <si>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</si>
  <si>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</si>
  <si>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</si>
  <si>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</si>
  <si>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</si>
  <si>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</si>
  <si>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</si>
  <si>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</si>
  <si>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</si>
  <si>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</si>
  <si>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</si>
  <si>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</si>
  <si>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</si>
  <si>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</si>
  <si>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</si>
  <si>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</si>
  <si>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</si>
  <si>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</si>
  <si>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</si>
  <si>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</si>
  <si>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</si>
  <si>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</si>
  <si>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</si>
  <si>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</si>
  <si>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</si>
  <si>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</si>
  <si>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</si>
  <si>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</si>
  <si>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</si>
  <si>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</si>
  <si>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</si>
  <si>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</si>
  <si>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</si>
  <si>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</si>
  <si>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</si>
  <si>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</si>
  <si>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</si>
  <si>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</si>
  <si>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</si>
  <si>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</si>
  <si>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</si>
  <si>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</si>
  <si>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</si>
  <si>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</si>
  <si>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</si>
  <si>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</si>
  <si>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</si>
  <si>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</si>
  <si>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</si>
  <si>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</si>
  <si>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</si>
  <si>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</si>
  <si>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</si>
  <si>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</si>
  <si>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</si>
  <si>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</si>
  <si>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</si>
  <si>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</si>
  <si>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</si>
  <si>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</si>
  <si>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</si>
  <si>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</si>
  <si>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</si>
  <si>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</si>
  <si>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</si>
  <si>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</si>
  <si>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</si>
  <si>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</si>
  <si>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</si>
  <si>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</si>
  <si>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</si>
  <si>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</si>
  <si>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</si>
  <si>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</si>
  <si>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</si>
  <si>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</si>
  <si>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</si>
  <si>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</si>
  <si>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</si>
  <si>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</si>
  <si>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</si>
  <si>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</si>
  <si>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</si>
  <si>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</si>
  <si>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</si>
  <si>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</si>
  <si>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</si>
  <si>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</si>
  <si>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</si>
  <si>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</si>
  <si>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</si>
  <si>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</si>
  <si>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</si>
  <si>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</si>
  <si>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</si>
  <si>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</si>
  <si>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</si>
  <si>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</si>
  <si>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</si>
  <si>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</si>
  <si>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</si>
  <si>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</si>
  <si>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</si>
  <si>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</si>
  <si>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</si>
  <si>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</si>
  <si>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</si>
  <si>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</si>
  <si>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</si>
  <si>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</si>
  <si>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</si>
  <si>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</si>
  <si>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</si>
  <si>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</si>
  <si>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</si>
  <si>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</si>
  <si>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</si>
  <si>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</si>
  <si>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</si>
  <si>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</si>
  <si>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</si>
  <si>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</si>
  <si>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</si>
  <si>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</si>
  <si>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</si>
  <si>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</si>
  <si>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</si>
  <si>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</si>
  <si>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</si>
  <si>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</si>
  <si>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</si>
  <si>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</si>
  <si>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</si>
  <si>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</si>
  <si>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</si>
  <si>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</si>
  <si>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</si>
  <si>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</si>
  <si>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</si>
  <si>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</si>
  <si>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</si>
  <si>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</si>
  <si>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</si>
  <si>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</si>
  <si>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</si>
  <si>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</si>
  <si>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</si>
  <si>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</si>
  <si>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</si>
  <si>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</si>
  <si>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</si>
  <si>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</si>
  <si>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</si>
  <si>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</si>
  <si>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</si>
  <si>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</si>
  <si>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</si>
  <si>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</si>
  <si>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</si>
  <si>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</si>
  <si>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</si>
  <si>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</si>
  <si>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</si>
  <si>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</si>
  <si>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</si>
  <si>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</si>
  <si>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</si>
  <si>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</si>
  <si>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</si>
  <si>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</si>
  <si>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</si>
  <si>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</si>
  <si>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</si>
  <si>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</si>
  <si>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</si>
  <si>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</si>
  <si>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</si>
  <si>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</si>
  <si>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</si>
  <si>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</si>
  <si>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</si>
  <si>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</si>
  <si>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</si>
  <si>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</si>
  <si>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</si>
  <si>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</si>
  <si>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</si>
  <si>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</si>
  <si>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</si>
  <si>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</si>
  <si>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</si>
  <si>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</si>
  <si>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</si>
  <si>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</si>
  <si>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</si>
  <si>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</si>
  <si>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</si>
  <si>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</si>
  <si>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</si>
  <si>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</si>
  <si>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</si>
  <si>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</si>
  <si>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</si>
  <si>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</si>
  <si>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</si>
  <si>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</si>
  <si>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</si>
  <si>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</si>
  <si>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</si>
  <si>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</si>
  <si>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</si>
  <si>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</si>
  <si>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</si>
  <si>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</si>
  <si>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</si>
  <si>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</si>
  <si>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</si>
  <si>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</si>
  <si>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</si>
  <si>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</si>
  <si>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</si>
  <si>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</si>
  <si>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</si>
  <si>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</si>
  <si>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</si>
  <si>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</si>
  <si>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</si>
  <si>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</si>
  <si>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</si>
  <si>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</si>
  <si>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</si>
  <si>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</si>
  <si>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</si>
  <si>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</si>
  <si>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</si>
  <si>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</si>
  <si>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</si>
  <si>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</si>
  <si>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</si>
  <si>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</si>
  <si>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</si>
  <si>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</si>
  <si>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</si>
  <si>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</si>
  <si>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</si>
  <si>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</si>
  <si>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</si>
  <si>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</si>
  <si>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</si>
  <si>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</si>
  <si>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</si>
  <si>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</si>
  <si>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</si>
  <si>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</si>
  <si>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</si>
  <si>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</si>
  <si>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</si>
  <si>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</si>
  <si>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</si>
  <si>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</si>
  <si>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</si>
  <si>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</si>
  <si>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</si>
  <si>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</si>
  <si>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</si>
  <si>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</si>
  <si>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</si>
  <si>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</si>
  <si>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</si>
  <si>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</si>
  <si>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</si>
  <si>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</si>
  <si>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</si>
  <si>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</si>
  <si>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</si>
  <si>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</si>
  <si>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</si>
  <si>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</si>
  <si>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</si>
  <si>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</si>
  <si>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</si>
  <si>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</si>
  <si>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</si>
  <si>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</si>
  <si>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</si>
  <si>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</si>
  <si>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</si>
  <si>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</si>
  <si>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</si>
  <si>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</si>
  <si>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</si>
  <si>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</si>
  <si>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</si>
  <si>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</si>
  <si>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</si>
  <si>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</si>
  <si>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</si>
  <si>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</si>
  <si>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</si>
  <si>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</si>
  <si>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</si>
  <si>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</si>
  <si>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</si>
  <si>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</si>
  <si>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</si>
  <si>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</si>
  <si>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</si>
  <si>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</si>
  <si>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</si>
  <si>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</si>
  <si>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</si>
  <si>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</si>
  <si>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</si>
  <si>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</si>
  <si>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</si>
  <si>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</si>
  <si>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</si>
  <si>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</si>
  <si>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</si>
  <si>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</si>
  <si>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</si>
  <si>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</si>
  <si>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</si>
  <si>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</si>
  <si>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</si>
  <si>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</si>
  <si>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</si>
  <si>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</si>
  <si>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</si>
  <si>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</si>
  <si>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</si>
  <si>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</si>
  <si>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</si>
  <si>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</si>
  <si>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</si>
  <si>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</si>
  <si>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</si>
  <si>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</si>
  <si>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</si>
  <si>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</si>
  <si>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</si>
  <si>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</si>
  <si>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</si>
  <si>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</si>
  <si>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</si>
  <si>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</si>
  <si>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</si>
  <si>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</si>
  <si>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</si>
  <si>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</si>
  <si>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</si>
  <si>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</si>
  <si>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</si>
  <si>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</si>
  <si>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</si>
  <si>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</si>
  <si>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</si>
  <si>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</si>
  <si>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</si>
  <si>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</si>
  <si>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</si>
  <si>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</si>
  <si>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</si>
  <si>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</si>
  <si>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</si>
  <si>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</si>
  <si>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</si>
  <si>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</si>
  <si>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</si>
  <si>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</si>
  <si>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</si>
  <si>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</si>
  <si>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</si>
  <si>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</si>
  <si>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</si>
  <si>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</si>
  <si>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</si>
  <si>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</si>
  <si>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</si>
  <si>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</si>
  <si>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</si>
  <si>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</si>
  <si>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</si>
  <si>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</si>
  <si>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</si>
  <si>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</si>
  <si>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</si>
  <si>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</si>
  <si>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</si>
  <si>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</si>
  <si>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</si>
  <si>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</si>
  <si>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</si>
  <si>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</si>
  <si>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</si>
  <si>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</si>
  <si>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</si>
  <si>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</si>
  <si>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</si>
  <si>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</si>
  <si>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</si>
  <si>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</si>
  <si>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</si>
  <si>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</si>
  <si>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</si>
  <si>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</si>
  <si>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</si>
  <si>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</si>
  <si>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</si>
  <si>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</si>
  <si>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</si>
  <si>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</si>
  <si>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</si>
  <si>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</si>
  <si>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</si>
  <si>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</si>
  <si>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</si>
  <si>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</si>
  <si>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</si>
  <si>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</si>
  <si>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</si>
  <si>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</si>
  <si>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</si>
  <si>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</si>
  <si>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</si>
  <si>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</si>
  <si>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</si>
  <si>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</si>
  <si>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</si>
  <si>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</si>
  <si>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</si>
  <si>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</si>
  <si>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</si>
  <si>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</si>
  <si>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</si>
  <si>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</si>
  <si>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</si>
  <si>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</si>
  <si>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</si>
  <si>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</si>
  <si>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</si>
  <si>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</si>
  <si>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</si>
  <si>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</si>
  <si>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</si>
  <si>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</si>
  <si>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</si>
  <si>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</si>
  <si>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</si>
  <si>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</si>
  <si>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</si>
  <si>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</si>
  <si>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</si>
  <si>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</si>
  <si>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</si>
  <si>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</si>
  <si>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</si>
  <si>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</si>
  <si>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</si>
  <si>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</si>
  <si>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</si>
  <si>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</si>
  <si>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</si>
  <si>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</si>
  <si>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</si>
  <si>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</si>
  <si>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</si>
  <si>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</si>
  <si>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</si>
  <si>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</si>
  <si>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</si>
  <si>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</si>
  <si>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</si>
  <si>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</si>
  <si>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</si>
  <si>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</si>
  <si>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</si>
  <si>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</si>
  <si>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</si>
  <si>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</si>
  <si>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</si>
  <si>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</si>
  <si>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</si>
  <si>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</si>
  <si>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</si>
  <si>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</si>
  <si>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</si>
  <si>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</si>
  <si>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</si>
  <si>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</si>
  <si>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</si>
  <si>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</si>
  <si>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</si>
  <si>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</si>
  <si>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</si>
  <si>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</si>
  <si>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</si>
  <si>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</si>
  <si>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</si>
  <si>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</si>
  <si>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</si>
  <si>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</si>
  <si>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</si>
  <si>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</si>
  <si>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</si>
  <si>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</si>
  <si>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</si>
  <si>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</si>
  <si>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</si>
  <si>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</si>
  <si>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</si>
  <si>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</si>
  <si>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</si>
  <si>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</si>
  <si>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</si>
  <si>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</si>
  <si>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</si>
  <si>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</si>
  <si>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</si>
  <si>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</si>
  <si>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</si>
  <si>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</si>
  <si>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</si>
  <si>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</si>
  <si>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</si>
  <si>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</si>
  <si>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</si>
  <si>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</si>
  <si>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</si>
  <si>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</si>
  <si>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</si>
  <si>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</si>
  <si>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</si>
  <si>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</si>
  <si>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</si>
  <si>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</si>
  <si>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</si>
  <si>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</si>
  <si>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</si>
  <si>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</si>
  <si>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</si>
  <si>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</si>
  <si>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</si>
  <si>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</si>
  <si>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</si>
  <si>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</si>
  <si>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</si>
  <si>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</si>
  <si>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</si>
  <si>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</si>
  <si>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</si>
  <si>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</si>
  <si>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</si>
  <si>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</si>
  <si>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</si>
  <si>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</si>
  <si>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</si>
  <si>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</si>
  <si>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</si>
  <si>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</si>
  <si>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</si>
  <si>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</si>
  <si>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</si>
  <si>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</si>
  <si>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</si>
  <si>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</si>
  <si>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</si>
  <si>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</si>
  <si>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</si>
  <si>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</si>
  <si>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</si>
  <si>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</si>
  <si>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</si>
  <si>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</si>
  <si>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</si>
  <si>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</si>
  <si>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</si>
  <si>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</si>
  <si>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</si>
  <si>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</si>
  <si>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</si>
  <si>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</si>
  <si>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</si>
  <si>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</si>
  <si>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</si>
  <si>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</si>
  <si>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</si>
  <si>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</si>
  <si>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</si>
  <si>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</si>
  <si>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</si>
  <si>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</si>
  <si>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</si>
  <si>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</si>
  <si>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</si>
  <si>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</si>
  <si>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</si>
  <si>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</si>
  <si>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</si>
  <si>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</si>
  <si>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</si>
  <si>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</si>
  <si>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</si>
  <si>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</si>
  <si>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</si>
  <si>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</si>
  <si>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</si>
  <si>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</si>
  <si>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</si>
  <si>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</si>
  <si>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</si>
  <si>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</si>
  <si>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</si>
  <si>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</si>
  <si>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</si>
  <si>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</si>
  <si>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</si>
  <si>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</si>
  <si>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</si>
  <si>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</si>
  <si>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</si>
  <si>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</si>
  <si>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</si>
  <si>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</si>
  <si>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</si>
  <si>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</si>
  <si>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</si>
  <si>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</si>
  <si>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</si>
  <si>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</si>
  <si>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</si>
  <si>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</si>
  <si>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</si>
  <si>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</si>
  <si>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</si>
  <si>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</si>
  <si>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</si>
  <si>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</si>
  <si>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</si>
  <si>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</si>
  <si>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</si>
  <si>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</si>
  <si>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</si>
  <si>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</si>
  <si>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</si>
  <si>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</si>
  <si>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</si>
  <si>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</si>
  <si>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</si>
  <si>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</si>
  <si>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</si>
  <si>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</si>
  <si>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</si>
  <si>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</si>
  <si>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</si>
  <si>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</si>
  <si>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</si>
  <si>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</si>
  <si>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</si>
  <si>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</si>
  <si>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</si>
  <si>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</si>
  <si>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</si>
  <si>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</si>
  <si>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</si>
  <si>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</si>
  <si>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</si>
  <si>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</si>
  <si>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</si>
  <si>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</si>
  <si>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</si>
  <si>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</si>
  <si>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</si>
  <si>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</si>
  <si>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</si>
  <si>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</si>
  <si>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</si>
  <si>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</si>
  <si>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</si>
  <si>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</si>
  <si>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</si>
  <si>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</si>
  <si>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</si>
  <si>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</si>
  <si>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</si>
  <si>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</si>
  <si>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</si>
  <si>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</si>
  <si>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</si>
  <si>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</si>
  <si>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</si>
  <si>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</si>
  <si>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</si>
  <si>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</si>
  <si>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</si>
  <si>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</si>
  <si>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</si>
  <si>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</si>
  <si>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</si>
  <si>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</si>
  <si>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</si>
  <si>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</si>
  <si>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</si>
  <si>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</si>
  <si>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</si>
  <si>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</si>
  <si>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</si>
  <si>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</si>
  <si>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</si>
  <si>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</si>
  <si>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</si>
  <si>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</si>
  <si>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</si>
  <si>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</si>
  <si>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</si>
  <si>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</si>
  <si>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</si>
  <si>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</si>
  <si>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</si>
  <si>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</si>
  <si>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</si>
  <si>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</si>
  <si>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</si>
  <si>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</si>
  <si>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</si>
  <si>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</si>
  <si>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</si>
  <si>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</si>
  <si>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</si>
  <si>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</si>
  <si>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</si>
  <si>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</si>
  <si>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</si>
  <si>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</si>
  <si>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</si>
  <si>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</si>
  <si>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</si>
  <si>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</si>
  <si>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</si>
  <si>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</si>
  <si>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</si>
  <si>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</si>
  <si>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</si>
  <si>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</si>
  <si>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</si>
  <si>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</si>
  <si>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</si>
  <si>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</si>
  <si>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</si>
  <si>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</si>
  <si>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</si>
  <si>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</si>
  <si>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</si>
  <si>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</si>
  <si>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</si>
  <si>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</si>
  <si>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</si>
  <si>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</si>
  <si>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</si>
  <si>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</si>
  <si>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</si>
  <si>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</si>
  <si>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</si>
  <si>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</si>
  <si>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</si>
  <si>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</si>
  <si>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</si>
  <si>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</si>
  <si>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</si>
  <si>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</si>
  <si>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</si>
  <si>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</si>
  <si>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</si>
  <si>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</si>
  <si>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</si>
  <si>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</si>
  <si>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</si>
  <si>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</si>
  <si>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</si>
  <si>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</si>
  <si>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</si>
  <si>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</si>
  <si>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</si>
  <si>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</si>
  <si>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</si>
  <si>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</si>
  <si>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</si>
  <si>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</si>
  <si>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</si>
  <si>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</si>
  <si>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</si>
  <si>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</si>
  <si>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</si>
  <si>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</si>
  <si>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</si>
  <si>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</si>
  <si>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</si>
  <si>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</si>
  <si>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</si>
  <si>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</si>
  <si>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</si>
  <si>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</si>
  <si>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</si>
  <si>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</si>
  <si>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</si>
  <si>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</si>
  <si>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</si>
  <si>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</si>
  <si>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</si>
  <si>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</si>
  <si>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</si>
  <si>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</si>
  <si>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</si>
  <si>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</si>
  <si>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</si>
  <si>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</si>
  <si>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</si>
  <si>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</si>
  <si>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</si>
  <si>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</si>
  <si>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</si>
  <si>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</si>
  <si>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</si>
  <si>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</si>
  <si>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</si>
  <si>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</si>
  <si>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</si>
  <si>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</si>
  <si>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</si>
  <si>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</si>
  <si>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</si>
  <si>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</si>
  <si>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</si>
  <si>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</si>
  <si>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</si>
  <si>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</si>
  <si>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</si>
  <si>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</si>
  <si>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</si>
  <si>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</si>
  <si>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</si>
  <si>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</si>
  <si>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</si>
  <si>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</si>
  <si>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</si>
  <si>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</si>
  <si>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</si>
  <si>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</si>
  <si>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</si>
  <si>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</si>
  <si>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</si>
  <si>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</si>
  <si>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</si>
  <si>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</si>
  <si>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</si>
  <si>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</si>
  <si>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</si>
  <si>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</si>
  <si>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</si>
  <si>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</si>
  <si>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</si>
  <si>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</si>
  <si>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</si>
  <si>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</si>
  <si>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</si>
  <si>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</si>
  <si>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</si>
  <si>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</si>
  <si>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</si>
  <si>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</si>
  <si>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</si>
  <si>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</si>
  <si>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</si>
  <si>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</si>
  <si>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</si>
  <si>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</si>
  <si>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</si>
  <si>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</si>
  <si>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</si>
  <si>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</si>
  <si>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</si>
  <si>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</si>
  <si>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</si>
  <si>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</si>
  <si>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</si>
  <si>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</si>
  <si>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</si>
  <si>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</si>
  <si>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</si>
  <si>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</si>
  <si>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</si>
  <si>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</si>
  <si>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</si>
  <si>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</si>
  <si>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</si>
  <si>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</si>
  <si>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</si>
  <si>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</si>
  <si>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</si>
  <si>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</si>
  <si>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</si>
  <si>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</si>
  <si>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</si>
  <si>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</si>
  <si>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</si>
  <si>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</si>
  <si>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</si>
  <si>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</si>
  <si>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</si>
  <si>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</si>
  <si>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</si>
  <si>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</si>
  <si>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</si>
  <si>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</si>
  <si>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</si>
  <si>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</si>
  <si>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</si>
  <si>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</si>
  <si>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</si>
  <si>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</si>
  <si>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</si>
  <si>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</si>
  <si>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</si>
  <si>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</si>
  <si>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</si>
  <si>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</si>
  <si>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</si>
  <si>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</si>
  <si>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</si>
  <si>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</si>
  <si>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</si>
  <si>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</si>
  <si>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</si>
  <si>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</si>
  <si>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</si>
  <si>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</si>
  <si>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</si>
  <si>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</si>
  <si>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</si>
  <si>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</si>
  <si>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</si>
  <si>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</si>
  <si>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</si>
  <si>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</si>
  <si>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</si>
  <si>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</si>
  <si>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</si>
  <si>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</si>
  <si>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</si>
  <si>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</si>
  <si>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</si>
  <si>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</si>
  <si>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</si>
  <si>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</si>
  <si>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</si>
  <si>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</si>
  <si>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</si>
  <si>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</si>
  <si>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</si>
  <si>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</si>
  <si>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</si>
  <si>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</si>
  <si>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</si>
  <si>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</si>
  <si>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</si>
  <si>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</si>
  <si>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</si>
  <si>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</si>
  <si>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</si>
  <si>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</si>
  <si>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</si>
  <si>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</si>
  <si>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</si>
  <si>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</si>
  <si>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</si>
  <si>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</si>
  <si>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</si>
  <si>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</si>
  <si>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</si>
  <si>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</si>
  <si>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</si>
  <si>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</si>
  <si>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</si>
  <si>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</si>
  <si>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</si>
  <si>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</si>
  <si>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</si>
  <si>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</si>
  <si>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</si>
  <si>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</si>
  <si>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</si>
  <si>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</si>
  <si>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</si>
  <si>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</si>
  <si>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</si>
  <si>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</si>
  <si>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</si>
  <si>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</si>
  <si>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</si>
  <si>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</si>
  <si>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</si>
  <si>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</si>
  <si>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</si>
  <si>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</si>
  <si>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</si>
  <si>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</si>
  <si>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</si>
  <si>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</si>
  <si>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</si>
  <si>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</si>
  <si>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</si>
  <si>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</si>
  <si>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</si>
  <si>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</si>
  <si>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</si>
  <si>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</si>
  <si>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</si>
  <si>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</si>
  <si>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</si>
  <si>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</si>
  <si>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</si>
  <si>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</si>
  <si>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</si>
  <si>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</si>
  <si>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</si>
  <si>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</si>
  <si>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</si>
  <si>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</si>
  <si>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</si>
  <si>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</si>
  <si>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</si>
  <si>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</si>
  <si>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</si>
  <si>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</si>
  <si>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</si>
  <si>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</si>
  <si>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</si>
  <si>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</si>
  <si>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</si>
  <si>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</si>
  <si>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</si>
  <si>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</si>
  <si>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</si>
  <si>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</si>
  <si>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</si>
  <si>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</si>
  <si>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</si>
  <si>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</si>
  <si>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</si>
  <si>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</si>
  <si>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</si>
  <si>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</si>
  <si>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</si>
  <si>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</si>
  <si>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</si>
  <si>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</si>
  <si>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</si>
  <si>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</si>
  <si>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</si>
  <si>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</si>
  <si>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</si>
  <si>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</si>
  <si>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</si>
  <si>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</si>
  <si>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</si>
  <si>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</si>
  <si>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</si>
  <si>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</si>
  <si>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</si>
  <si>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</si>
  <si>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</si>
  <si>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</si>
  <si>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</si>
  <si>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</si>
  <si>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</si>
  <si>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</si>
  <si>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</si>
  <si>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</si>
  <si>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</si>
  <si>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</si>
  <si>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</si>
  <si>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</si>
  <si>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</si>
  <si>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</si>
  <si>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</si>
  <si>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</si>
  <si>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</si>
  <si>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</si>
  <si>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</si>
  <si>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</si>
  <si>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</si>
  <si>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</si>
  <si>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</si>
  <si>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</si>
  <si>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</si>
  <si>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</si>
  <si>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</si>
  <si>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</si>
  <si>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</si>
  <si>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</si>
  <si>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</si>
  <si>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</si>
  <si>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</si>
  <si>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</si>
  <si>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</si>
  <si>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</si>
  <si>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</si>
  <si>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</si>
  <si>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</si>
  <si>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</si>
  <si>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</si>
  <si>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</si>
  <si>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</si>
  <si>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</si>
  <si>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</si>
  <si>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</si>
  <si>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</si>
  <si>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</si>
  <si>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</si>
  <si>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</si>
  <si>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</si>
  <si>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</si>
  <si>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</si>
  <si>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</si>
  <si>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</si>
  <si>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</si>
  <si>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</si>
  <si>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</si>
  <si>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</si>
  <si>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</si>
  <si>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</si>
  <si>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</si>
  <si>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</si>
  <si>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</si>
  <si>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</si>
  <si>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</si>
  <si>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</si>
  <si>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</si>
  <si>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</si>
  <si>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</si>
  <si>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</si>
  <si>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</si>
  <si>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</si>
  <si>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</si>
  <si>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</si>
  <si>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</si>
  <si>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</si>
  <si>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</si>
  <si>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</si>
  <si>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</si>
  <si>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</si>
  <si>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</si>
  <si>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</si>
  <si>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</si>
  <si>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</si>
  <si>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</si>
  <si>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</si>
  <si>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</si>
  <si>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</si>
  <si>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</si>
  <si>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</si>
  <si>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</si>
  <si>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</si>
  <si>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</si>
  <si>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</si>
  <si>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</si>
  <si>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</si>
  <si>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</si>
  <si>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</si>
  <si>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</si>
  <si>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</si>
  <si>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</si>
  <si>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</si>
  <si>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</si>
  <si>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</si>
  <si>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</si>
  <si>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</si>
  <si>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</si>
  <si>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</si>
  <si>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</si>
  <si>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</si>
  <si>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</si>
  <si>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</si>
  <si>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</si>
  <si>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</si>
  <si>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</si>
  <si>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</si>
  <si>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</si>
  <si>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</si>
  <si>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</si>
  <si>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</si>
  <si>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</si>
  <si>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</si>
  <si>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</si>
  <si>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</si>
  <si>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</si>
  <si>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</si>
  <si>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</si>
  <si>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</si>
  <si>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</si>
  <si>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</si>
  <si>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</si>
  <si>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</si>
  <si>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</si>
  <si>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</si>
  <si>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</si>
  <si>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</si>
  <si>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</si>
  <si>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</si>
  <si>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</si>
  <si>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</si>
  <si>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</si>
  <si>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</si>
  <si>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</si>
  <si>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</si>
  <si>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</si>
  <si>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</si>
  <si>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</si>
  <si>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</si>
  <si>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</si>
  <si>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</si>
  <si>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</si>
  <si>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</si>
  <si>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</si>
  <si>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</si>
  <si>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</si>
  <si>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</si>
  <si>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</si>
  <si>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</si>
  <si>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</si>
  <si>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</si>
  <si>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</si>
  <si>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</si>
  <si>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</si>
  <si>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</si>
  <si>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</si>
  <si>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</si>
  <si>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</si>
  <si>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</si>
  <si>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</si>
  <si>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</si>
  <si>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</si>
  <si>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</si>
  <si>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</si>
  <si>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</si>
  <si>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</si>
  <si>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</si>
  <si>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</si>
  <si>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</si>
  <si>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</si>
  <si>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</si>
  <si>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</si>
  <si>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</si>
  <si>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</si>
  <si>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</si>
  <si>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</si>
  <si>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</si>
  <si>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</si>
  <si>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</si>
  <si>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</si>
  <si>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</si>
  <si>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</si>
  <si>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</si>
  <si>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</si>
  <si>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</si>
  <si>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</si>
  <si>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</si>
  <si>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</si>
  <si>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</si>
  <si>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</si>
  <si>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</si>
  <si>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</si>
  <si>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</si>
  <si>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</si>
  <si>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</si>
  <si>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</si>
  <si>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</si>
  <si>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</si>
  <si>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</si>
  <si>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</si>
  <si>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</si>
  <si>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</si>
  <si>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</si>
  <si>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</si>
  <si>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</si>
  <si>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</si>
  <si>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</si>
  <si>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</si>
  <si>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</si>
  <si>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</si>
  <si>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</si>
  <si>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</si>
  <si>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</si>
  <si>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</si>
  <si>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</si>
  <si>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</si>
  <si>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</si>
  <si>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</si>
  <si>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</si>
  <si>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</si>
  <si>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</si>
  <si>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</si>
  <si>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</si>
  <si>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</si>
  <si>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</si>
  <si>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</si>
  <si>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</si>
  <si>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</si>
  <si>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</si>
  <si>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</si>
  <si>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</si>
  <si>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</si>
  <si>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</si>
  <si>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</si>
  <si>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</si>
  <si>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</si>
  <si>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</si>
  <si>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</si>
  <si>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</si>
  <si>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</si>
  <si>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</si>
  <si>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</si>
  <si>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</si>
  <si>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</si>
  <si>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</si>
  <si>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</si>
  <si>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</si>
  <si>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</si>
  <si>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</si>
  <si>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</si>
  <si>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</si>
  <si>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</si>
  <si>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</si>
  <si>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</si>
  <si>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</si>
  <si>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</si>
  <si>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</si>
  <si>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</si>
  <si>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</si>
  <si>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</si>
  <si>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</si>
  <si>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</si>
  <si>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</si>
  <si>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</si>
  <si>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</si>
  <si>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</si>
  <si>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</si>
  <si>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</si>
  <si>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</si>
  <si>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</si>
  <si>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</si>
  <si>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</si>
  <si>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</si>
  <si>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</si>
  <si>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</si>
  <si>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</si>
  <si>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</si>
  <si>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</si>
  <si>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</si>
  <si>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</si>
  <si>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</si>
  <si>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</si>
  <si>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</si>
  <si>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</si>
  <si>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</si>
  <si>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</si>
  <si>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</si>
  <si>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</si>
  <si>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</si>
  <si>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</si>
  <si>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</si>
  <si>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</si>
  <si>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</si>
  <si>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</si>
  <si>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</si>
  <si>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</si>
  <si>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</si>
  <si>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</si>
  <si>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</si>
  <si>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</si>
  <si>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</si>
  <si>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</si>
  <si>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</si>
  <si>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</si>
  <si>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</si>
  <si>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</si>
  <si>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</si>
  <si>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</si>
  <si>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</si>
  <si>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</si>
  <si>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</si>
  <si>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</si>
  <si>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</si>
  <si>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</si>
  <si>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</si>
  <si>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</si>
  <si>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</si>
  <si>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</si>
  <si>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</si>
  <si>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</si>
  <si>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</si>
  <si>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</si>
  <si>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</si>
  <si>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</si>
  <si>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</si>
  <si>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</si>
  <si>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</si>
  <si>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</si>
  <si>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</si>
  <si>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</si>
  <si>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</si>
  <si>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</si>
  <si>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</si>
  <si>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</si>
  <si>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</si>
  <si>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</si>
  <si>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</si>
  <si>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</si>
  <si>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</si>
  <si>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</si>
  <si>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</si>
  <si>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</si>
  <si>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</si>
  <si>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</si>
  <si>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</si>
  <si>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</si>
  <si>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</si>
  <si>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</si>
  <si>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</si>
  <si>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</si>
  <si>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</si>
  <si>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</si>
  <si>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</si>
  <si>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</si>
  <si>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</si>
  <si>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</si>
  <si>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</si>
  <si>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</si>
  <si>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</si>
  <si>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</si>
  <si>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</si>
  <si>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</si>
  <si>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</si>
  <si>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</si>
  <si>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</si>
  <si>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</si>
  <si>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</si>
  <si>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</si>
  <si>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</si>
  <si>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</si>
  <si>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</si>
  <si>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</si>
  <si>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</si>
  <si>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</si>
  <si>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</si>
  <si>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</si>
  <si>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</si>
  <si>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</si>
  <si>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</si>
  <si>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</si>
  <si>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</si>
  <si>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</si>
  <si>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</si>
  <si>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</si>
  <si>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</si>
  <si>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</si>
  <si>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</si>
  <si>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</si>
  <si>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</si>
  <si>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</si>
  <si>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</si>
  <si>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</si>
  <si>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</si>
  <si>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</si>
  <si>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</si>
  <si>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</si>
  <si>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</si>
  <si>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</si>
  <si>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</si>
  <si>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</si>
  <si>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</si>
  <si>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</si>
  <si>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</si>
  <si>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</si>
  <si>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</si>
  <si>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</si>
  <si>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</si>
  <si>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</si>
  <si>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</si>
  <si>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</si>
  <si>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</si>
  <si>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</si>
  <si>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</si>
  <si>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</si>
  <si>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</si>
  <si>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</si>
  <si>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</si>
  <si>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</si>
  <si>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</si>
  <si>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</si>
  <si>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</si>
  <si>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</si>
  <si>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</si>
  <si>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</si>
  <si>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</si>
  <si>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</si>
  <si>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</si>
  <si>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</si>
  <si>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</si>
  <si>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</si>
  <si>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</si>
  <si>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</si>
  <si>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</si>
  <si>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</si>
  <si>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</si>
  <si>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</si>
  <si>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</si>
  <si>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</si>
  <si>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</si>
  <si>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</si>
  <si>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</si>
  <si>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</si>
  <si>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</si>
  <si>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</si>
  <si>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</si>
  <si>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</si>
  <si>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</si>
  <si>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</si>
  <si>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</si>
  <si>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</si>
  <si>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</si>
  <si>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</si>
  <si>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</si>
  <si>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</si>
  <si>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</si>
  <si>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</si>
  <si>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</si>
  <si>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</si>
  <si>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</si>
  <si>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</si>
  <si>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</si>
  <si>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</si>
  <si>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</si>
  <si>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</si>
  <si>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</si>
  <si>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</si>
  <si>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</si>
  <si>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</si>
  <si>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</si>
  <si>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</si>
  <si>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</si>
  <si>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</si>
  <si>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</si>
  <si>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</si>
  <si>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</si>
  <si>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</si>
  <si>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</si>
  <si>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</si>
  <si>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</si>
  <si>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</si>
  <si>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</si>
  <si>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</si>
  <si>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</si>
  <si>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</si>
  <si>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</si>
  <si>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</si>
  <si>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</si>
  <si>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</si>
  <si>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</si>
  <si>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</si>
  <si>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</si>
  <si>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</si>
  <si>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</si>
  <si>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</si>
  <si>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</si>
  <si>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</si>
  <si>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</si>
  <si>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</si>
  <si>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</si>
  <si>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</si>
  <si>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</si>
  <si>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</si>
  <si>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</si>
  <si>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</si>
  <si>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</si>
  <si>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</si>
  <si>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</si>
  <si>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</si>
  <si>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</si>
  <si>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</si>
  <si>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</si>
  <si>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</si>
  <si>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</si>
  <si>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</si>
  <si>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</si>
  <si>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</si>
  <si>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</si>
  <si>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</si>
  <si>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</si>
  <si>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</si>
  <si>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</si>
  <si>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</si>
  <si>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</si>
  <si>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</si>
  <si>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</si>
  <si>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</si>
  <si>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</si>
  <si>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</si>
  <si>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</si>
  <si>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</si>
  <si>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</si>
  <si>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</si>
  <si>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</si>
  <si>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</si>
  <si>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</si>
  <si>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</si>
  <si>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</si>
  <si>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</si>
  <si>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</si>
  <si>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</si>
  <si>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</si>
  <si>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</si>
  <si>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</si>
  <si>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</si>
  <si>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</si>
  <si>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</si>
  <si>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</si>
  <si>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</si>
  <si>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</si>
  <si>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</si>
  <si>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</si>
  <si>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</si>
  <si>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</si>
  <si>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</si>
  <si>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</si>
  <si>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</si>
  <si>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</si>
  <si>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</si>
  <si>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</si>
  <si>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</si>
  <si>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</si>
  <si>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</si>
  <si>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</si>
  <si>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</si>
  <si>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</si>
  <si>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</si>
  <si>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</si>
  <si>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</si>
  <si>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</si>
  <si>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</si>
  <si>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</si>
  <si>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</si>
  <si>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</si>
  <si>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</si>
  <si>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</si>
  <si>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</si>
  <si>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</si>
  <si>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</si>
  <si>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</si>
  <si>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</si>
  <si>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</si>
  <si>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</si>
  <si>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</si>
  <si>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</si>
  <si>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</si>
  <si>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</si>
  <si>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</si>
  <si>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</si>
  <si>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</si>
  <si>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</si>
  <si>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</si>
  <si>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</si>
  <si>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</si>
  <si>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</si>
  <si>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</si>
  <si>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</si>
  <si>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</si>
  <si>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</si>
  <si>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</si>
  <si>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</si>
  <si>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</si>
  <si>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</si>
  <si>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</si>
  <si>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</si>
  <si>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</si>
  <si>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</si>
  <si>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</si>
  <si>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</si>
  <si>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</si>
  <si>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</si>
  <si>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</si>
  <si>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</si>
  <si>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</si>
  <si>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</si>
  <si>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</si>
  <si>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</si>
  <si>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</si>
  <si>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</si>
  <si>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</si>
  <si>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</si>
  <si>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</si>
  <si>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</si>
  <si>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</si>
  <si>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</si>
  <si>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</si>
  <si>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</si>
  <si>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</si>
  <si>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</si>
  <si>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</si>
  <si>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</si>
  <si>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</si>
  <si>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</si>
  <si>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</si>
  <si>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</si>
  <si>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</si>
  <si>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</si>
  <si>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</si>
  <si>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</si>
  <si>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</si>
  <si>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</si>
  <si>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</si>
  <si>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</si>
  <si>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</si>
  <si>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</si>
  <si>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</si>
  <si>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</si>
  <si>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</si>
  <si>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</si>
  <si>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</si>
  <si>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</si>
  <si>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</si>
  <si>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</si>
  <si>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</si>
  <si>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</si>
  <si>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</si>
  <si>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</si>
  <si>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</si>
  <si>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</si>
  <si>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</si>
  <si>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</si>
  <si>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</si>
  <si>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</si>
  <si>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</si>
  <si>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</si>
  <si>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</si>
  <si>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</si>
  <si>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</si>
  <si>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</si>
  <si>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</si>
  <si>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</si>
  <si>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</si>
  <si>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</si>
  <si>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</si>
  <si>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</si>
  <si>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</si>
  <si>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</si>
  <si>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</si>
  <si>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</si>
  <si>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</si>
  <si>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</si>
  <si>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</si>
  <si>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</si>
  <si>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</si>
  <si>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</si>
  <si>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</si>
  <si>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</si>
  <si>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</si>
  <si>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</si>
  <si>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</si>
  <si>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</si>
  <si>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</si>
  <si>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</si>
  <si>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</si>
  <si>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</si>
  <si>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</si>
  <si>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</si>
  <si>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</si>
  <si>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</si>
  <si>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</si>
  <si>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</si>
  <si>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</si>
  <si>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</si>
  <si>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</si>
  <si>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</si>
  <si>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</si>
  <si>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</si>
  <si>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</si>
  <si>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</si>
  <si>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</si>
  <si>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</si>
  <si>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</si>
  <si>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</si>
  <si>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</si>
  <si>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</si>
  <si>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</si>
  <si>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</si>
  <si>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</si>
  <si>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</si>
  <si>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</si>
  <si>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</si>
  <si>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</si>
  <si>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</si>
  <si>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</si>
  <si>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</si>
  <si>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</si>
  <si>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</si>
  <si>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</si>
  <si>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</si>
  <si>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</si>
  <si>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</si>
  <si>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</si>
  <si>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</si>
  <si>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</si>
  <si>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</si>
  <si>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</si>
  <si>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</si>
  <si>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</si>
  <si>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</si>
  <si>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</si>
  <si>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</si>
  <si>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</si>
  <si>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</si>
  <si>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</si>
  <si>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</si>
  <si>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</si>
  <si>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</si>
  <si>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</si>
  <si>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</si>
  <si>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</si>
  <si>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</si>
  <si>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</si>
  <si>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</si>
  <si>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</si>
  <si>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</si>
  <si>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</si>
  <si>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</si>
  <si>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</si>
  <si>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</si>
  <si>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</si>
  <si>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</si>
  <si>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</si>
  <si>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</si>
  <si>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</si>
  <si>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</si>
  <si>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</si>
  <si>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</si>
  <si>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</si>
  <si>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</si>
  <si>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</si>
  <si>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</si>
  <si>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</si>
  <si>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</si>
  <si>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</si>
  <si>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</si>
  <si>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</si>
  <si>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</si>
  <si>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</si>
  <si>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</si>
  <si>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</si>
  <si>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</si>
  <si>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</si>
  <si>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</si>
  <si>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</si>
  <si>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</si>
  <si>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</si>
  <si>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</si>
  <si>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</si>
  <si>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</si>
  <si>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</si>
  <si>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</si>
  <si>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</si>
  <si>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</si>
  <si>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</si>
  <si>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</si>
  <si>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</si>
  <si>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</si>
  <si>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</si>
  <si>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</si>
  <si>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</si>
  <si>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</si>
  <si>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</si>
  <si>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</si>
  <si>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</si>
  <si>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</si>
  <si>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</si>
  <si>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</si>
  <si>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</si>
  <si>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</si>
  <si>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</si>
  <si>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</si>
  <si>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</si>
  <si>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</si>
  <si>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</si>
  <si>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</si>
  <si>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</si>
  <si>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</si>
  <si>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</si>
  <si>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</si>
  <si>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</si>
  <si>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</si>
  <si>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</si>
  <si>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</si>
  <si>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</si>
  <si>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</si>
  <si>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</si>
  <si>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</si>
  <si>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</si>
  <si>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</si>
  <si>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</si>
  <si>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</si>
  <si>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</si>
  <si>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</si>
  <si>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</si>
  <si>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</si>
  <si>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</si>
  <si>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</si>
  <si>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</si>
  <si>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</si>
  <si>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</si>
  <si>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</si>
  <si>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</si>
  <si>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</si>
  <si>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</si>
  <si>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</si>
  <si>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</si>
  <si>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</si>
  <si>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</si>
  <si>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</si>
  <si>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</si>
  <si>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</si>
  <si>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</si>
  <si>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</si>
  <si>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</si>
  <si>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</si>
  <si>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</si>
  <si>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</si>
  <si>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</si>
  <si>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</si>
  <si>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</si>
  <si>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</si>
  <si>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</si>
  <si>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</si>
  <si>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</si>
  <si>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</si>
  <si>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</si>
  <si>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</si>
  <si>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</si>
  <si>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</si>
  <si>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</si>
  <si>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</si>
  <si>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</si>
  <si>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</si>
  <si>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</si>
  <si>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</si>
  <si>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</si>
  <si>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</si>
  <si>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</si>
  <si>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</si>
  <si>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</si>
  <si>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</si>
  <si>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</si>
  <si>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</si>
  <si>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</si>
  <si>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</si>
  <si>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</si>
  <si>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</si>
  <si>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</si>
  <si>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</si>
  <si>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</si>
  <si>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</si>
  <si>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</si>
  <si>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</si>
  <si>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</si>
  <si>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</si>
  <si>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</si>
  <si>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</si>
  <si>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</si>
  <si>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</si>
  <si>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</si>
  <si>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</si>
  <si>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</si>
  <si>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</si>
  <si>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</si>
  <si>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</si>
  <si>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</si>
  <si>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</si>
  <si>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</si>
  <si>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</si>
  <si>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</si>
  <si>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</si>
  <si>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</si>
  <si>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</si>
  <si>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</si>
  <si>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</si>
  <si>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</si>
  <si>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</si>
  <si>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</si>
  <si>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</si>
  <si>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</si>
  <si>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</si>
  <si>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</si>
  <si>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</si>
  <si>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</si>
  <si>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</si>
  <si>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</si>
  <si>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</si>
  <si>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</si>
  <si>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</si>
  <si>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</si>
  <si>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</si>
  <si>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</si>
  <si>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</si>
  <si>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</si>
  <si>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</si>
  <si>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</si>
  <si>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</si>
  <si>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</si>
  <si>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</si>
  <si>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</si>
  <si>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</si>
  <si>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</si>
  <si>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</si>
  <si>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</si>
  <si>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</si>
  <si>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</si>
  <si>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</si>
  <si>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</si>
  <si>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</si>
  <si>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</si>
  <si>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</si>
  <si>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</si>
  <si>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</si>
  <si>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</si>
  <si>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</si>
  <si>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</si>
  <si>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</si>
  <si>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</si>
  <si>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</si>
  <si>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</si>
  <si>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</si>
  <si>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</si>
  <si>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</si>
  <si>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</si>
  <si>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</si>
  <si>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</si>
  <si>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</si>
  <si>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</si>
  <si>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</si>
  <si>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</si>
  <si>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</si>
  <si>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</si>
  <si>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</si>
  <si>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</si>
  <si>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</si>
  <si>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</si>
  <si>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</si>
  <si>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</si>
  <si>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</si>
  <si>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</si>
  <si>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</si>
  <si>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</si>
  <si>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</si>
  <si>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</si>
  <si>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</si>
  <si>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</si>
  <si>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</si>
  <si>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</si>
  <si>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</si>
  <si>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</si>
  <si>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</si>
  <si>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</si>
  <si>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</si>
  <si>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</si>
  <si>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</si>
  <si>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</si>
  <si>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</si>
  <si>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</si>
  <si>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</si>
  <si>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</si>
  <si>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</si>
  <si>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</si>
  <si>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</si>
  <si>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</si>
  <si>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</si>
  <si>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</si>
  <si>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</si>
  <si>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</si>
  <si>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</si>
  <si>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</si>
  <si>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</si>
  <si>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</si>
  <si>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</si>
  <si>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</si>
  <si>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</si>
  <si>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</si>
  <si>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</si>
  <si>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</si>
  <si>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</si>
  <si>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</si>
  <si>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</si>
  <si>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</si>
  <si>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</si>
  <si>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</si>
  <si>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</si>
  <si>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</si>
  <si>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</si>
  <si>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</si>
  <si>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</si>
  <si>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</si>
  <si>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</si>
  <si>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</si>
  <si>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</si>
  <si>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</si>
  <si>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</si>
  <si>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</si>
  <si>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</si>
  <si>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</si>
  <si>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</si>
  <si>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</si>
  <si>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</si>
  <si>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</si>
  <si>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</si>
  <si>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</si>
  <si>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</si>
  <si>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</si>
  <si>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</si>
  <si>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</si>
  <si>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</si>
  <si>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</si>
  <si>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</si>
  <si>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</si>
  <si>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</si>
  <si>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</si>
  <si>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</si>
  <si>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</si>
  <si>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</si>
  <si>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</si>
  <si>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</si>
  <si>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</si>
  <si>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</si>
  <si>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</si>
  <si>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</si>
  <si>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</si>
  <si>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</si>
  <si>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</si>
  <si>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</si>
  <si>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</si>
  <si>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</si>
  <si>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</si>
  <si>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</si>
  <si>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</si>
  <si>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</si>
  <si>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</si>
  <si>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</si>
  <si>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</si>
  <si>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</si>
  <si>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</si>
  <si>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</si>
  <si>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</si>
  <si>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</si>
  <si>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</si>
  <si>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</si>
  <si>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</si>
  <si>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</si>
  <si>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</si>
  <si>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</si>
  <si>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</si>
  <si>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</si>
  <si>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</si>
  <si>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</si>
  <si>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</si>
  <si>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</si>
  <si>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</si>
  <si>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</si>
  <si>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</si>
  <si>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</si>
  <si>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</si>
  <si>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</si>
  <si>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</si>
  <si>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</si>
  <si>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</si>
  <si>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</si>
  <si>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</si>
  <si>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</si>
  <si>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</si>
  <si>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</si>
  <si>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</si>
  <si>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</si>
  <si>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</si>
  <si>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</si>
  <si>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</si>
  <si>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</si>
  <si>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</si>
  <si>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</si>
  <si>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</si>
  <si>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</si>
  <si>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</si>
  <si>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</si>
  <si>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</si>
  <si>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</si>
  <si>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</si>
  <si>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</si>
  <si>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</si>
  <si>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</si>
  <si>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</si>
  <si>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</si>
  <si>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</si>
  <si>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</si>
  <si>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</si>
  <si>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</si>
  <si>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</si>
  <si>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</si>
  <si>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</si>
  <si>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</si>
  <si>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</si>
  <si>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</si>
  <si>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</si>
  <si>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</si>
  <si>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</si>
  <si>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</si>
  <si>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</si>
  <si>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</si>
  <si>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</si>
  <si>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</si>
  <si>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</si>
  <si>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</si>
  <si>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</si>
  <si>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</si>
  <si>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</si>
  <si>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</si>
  <si>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</si>
  <si>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</si>
  <si>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</si>
  <si>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</si>
  <si>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</si>
  <si>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</si>
  <si>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</si>
  <si>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</si>
  <si>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</si>
  <si>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</si>
  <si>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</si>
  <si>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</si>
  <si>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</si>
  <si>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</si>
  <si>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</si>
  <si>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</si>
  <si>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</si>
  <si>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</si>
  <si>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</si>
  <si>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</si>
  <si>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</si>
  <si>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</si>
  <si>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</si>
  <si>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</si>
  <si>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</si>
  <si>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</si>
  <si>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</si>
  <si>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</si>
  <si>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</si>
  <si>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</si>
  <si>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</si>
  <si>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</si>
  <si>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</si>
  <si>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</si>
  <si>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</si>
  <si>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</si>
  <si>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</si>
  <si>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</si>
  <si>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</si>
  <si>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</si>
  <si>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</si>
  <si>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</si>
  <si>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</si>
  <si>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</si>
  <si>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</si>
  <si>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</si>
  <si>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</si>
  <si>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</si>
  <si>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</si>
  <si>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</si>
  <si>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</si>
  <si>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</si>
  <si>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</si>
  <si>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</si>
  <si>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</si>
  <si>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</si>
  <si>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</si>
  <si>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</si>
  <si>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</si>
  <si>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</si>
  <si>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</si>
  <si>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</si>
  <si>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</si>
  <si>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</si>
  <si>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</si>
  <si>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</si>
  <si>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</si>
  <si>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</si>
  <si>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</si>
  <si>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</si>
  <si>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</si>
  <si>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</si>
  <si>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</si>
  <si>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</si>
  <si>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</si>
  <si>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</si>
  <si>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</si>
  <si>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</si>
  <si>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</si>
  <si>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</si>
  <si>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</si>
  <si>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</si>
  <si>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</si>
  <si>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</si>
  <si>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</si>
  <si>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</si>
  <si>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</si>
  <si>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</si>
  <si>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</si>
  <si>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</si>
  <si>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</si>
  <si>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</si>
  <si>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</si>
  <si>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</si>
  <si>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</si>
  <si>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</si>
  <si>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</si>
  <si>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</si>
  <si>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</si>
  <si>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</si>
  <si>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</si>
  <si>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</si>
  <si>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</si>
  <si>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</si>
  <si>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</si>
  <si>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</si>
  <si>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</si>
  <si>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</si>
  <si>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</si>
  <si>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</si>
  <si>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</si>
  <si>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</si>
  <si>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</si>
  <si>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</si>
  <si>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</si>
  <si>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</si>
  <si>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</si>
  <si>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</si>
  <si>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</si>
  <si>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</si>
  <si>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</si>
  <si>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</si>
  <si>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</si>
  <si>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</si>
  <si>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</si>
  <si>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</si>
  <si>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</si>
  <si>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</si>
  <si>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</si>
  <si>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</si>
  <si>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</si>
  <si>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</si>
  <si>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</si>
  <si>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</si>
  <si>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</si>
  <si>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</si>
  <si>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</si>
  <si>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</si>
  <si>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</si>
  <si>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</si>
  <si>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</si>
  <si>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</si>
  <si>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</si>
  <si>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</si>
  <si>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</si>
  <si>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</si>
  <si>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</si>
  <si>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</si>
  <si>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</si>
  <si>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</si>
  <si>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</si>
  <si>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</si>
  <si>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</si>
  <si>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</si>
  <si>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</si>
  <si>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</si>
  <si>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</si>
  <si>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</si>
  <si>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</si>
  <si>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</si>
  <si>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</si>
  <si>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</si>
  <si>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</si>
  <si>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</si>
  <si>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</si>
  <si>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</si>
  <si>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</si>
  <si>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</si>
  <si>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</si>
  <si>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</si>
  <si>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</si>
  <si>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</si>
  <si>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</si>
  <si>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</si>
  <si>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</si>
  <si>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</si>
  <si>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</si>
  <si>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</si>
  <si>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</si>
  <si>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</si>
  <si>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</si>
  <si>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</si>
  <si>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</si>
  <si>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</si>
  <si>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</si>
  <si>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</si>
  <si>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</si>
  <si>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</si>
  <si>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</si>
  <si>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</si>
  <si>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</si>
  <si>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</si>
  <si>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</si>
  <si>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</si>
  <si>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</si>
  <si>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</si>
  <si>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</si>
  <si>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</si>
  <si>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</si>
  <si>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</si>
  <si>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</si>
  <si>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</si>
  <si>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</si>
  <si>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</si>
  <si>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</si>
  <si>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</si>
  <si>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</si>
  <si>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</si>
  <si>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</si>
  <si>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</si>
  <si>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</si>
  <si>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</si>
  <si>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</si>
  <si>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</si>
  <si>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</si>
  <si>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</si>
  <si>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</si>
  <si>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</si>
  <si>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</si>
  <si>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</si>
  <si>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</si>
  <si>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</si>
  <si>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</si>
  <si>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</si>
  <si>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</si>
  <si>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</si>
  <si>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</si>
  <si>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</si>
  <si>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</si>
  <si>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</si>
  <si>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</si>
  <si>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</si>
  <si>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</si>
  <si>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</si>
  <si>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</si>
  <si>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</si>
  <si>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</si>
  <si>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</si>
  <si>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</si>
  <si>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</si>
  <si>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</si>
  <si>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</si>
  <si>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</si>
  <si>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</si>
  <si>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</si>
  <si>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</si>
  <si>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</si>
  <si>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</si>
  <si>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</si>
  <si>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</si>
  <si>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</si>
  <si>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</si>
  <si>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</si>
  <si>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</si>
  <si>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</si>
  <si>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</si>
  <si>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</si>
  <si>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</si>
  <si>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</si>
  <si>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</si>
  <si>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</si>
  <si>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</si>
  <si>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</si>
  <si>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</si>
  <si>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</si>
  <si>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</si>
  <si>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</si>
  <si>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</si>
  <si>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</si>
  <si>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</si>
  <si>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</si>
  <si>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</si>
  <si>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</si>
  <si>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</si>
  <si>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</si>
  <si>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</si>
  <si>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</si>
  <si>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</si>
  <si>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</si>
  <si>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</si>
  <si>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</si>
  <si>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</si>
  <si>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</si>
  <si>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</si>
  <si>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</si>
  <si>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</si>
  <si>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</si>
  <si>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</si>
  <si>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</si>
  <si>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</si>
  <si>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</si>
  <si>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</si>
  <si>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</si>
  <si>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</si>
  <si>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</si>
  <si>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</si>
  <si>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</si>
  <si>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</si>
  <si>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</si>
  <si>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</si>
  <si>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</si>
  <si>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</si>
  <si>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</si>
  <si>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</si>
  <si>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</si>
  <si>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</si>
  <si>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</si>
  <si>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</si>
  <si>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</si>
  <si>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</si>
  <si>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</si>
  <si>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</si>
  <si>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</si>
  <si>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</si>
  <si>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</si>
  <si>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</si>
  <si>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</si>
  <si>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</si>
  <si>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</si>
  <si>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</si>
  <si>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</si>
  <si>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</si>
  <si>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</si>
  <si>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</si>
  <si>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</si>
  <si>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</si>
  <si>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</si>
  <si>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</si>
  <si>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</si>
  <si>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</si>
  <si>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</si>
  <si>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</si>
  <si>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</si>
  <si>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</si>
  <si>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</si>
  <si>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</si>
  <si>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</si>
  <si>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</si>
  <si>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</si>
  <si>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</si>
  <si>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</si>
  <si>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</si>
  <si>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</si>
  <si>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</si>
  <si>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</si>
  <si>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</si>
  <si>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</si>
  <si>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</si>
  <si>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</si>
  <si>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</si>
  <si>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</si>
  <si>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</si>
  <si>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</si>
  <si>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</si>
  <si>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</si>
  <si>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</si>
  <si>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</si>
  <si>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</si>
  <si>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</si>
  <si>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</si>
  <si>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</si>
  <si>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</si>
  <si>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</si>
  <si>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</si>
  <si>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</si>
  <si>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</si>
  <si>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</si>
  <si>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</si>
  <si>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</si>
  <si>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</si>
  <si>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</si>
  <si>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</si>
  <si>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</si>
  <si>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</si>
  <si>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</si>
  <si>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</si>
  <si>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</si>
  <si>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</si>
  <si>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</si>
  <si>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</si>
  <si>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</si>
  <si>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</si>
  <si>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</si>
  <si>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</si>
  <si>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</si>
  <si>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</si>
  <si>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</si>
  <si>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</si>
  <si>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</si>
  <si>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</si>
  <si>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</si>
  <si>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</si>
  <si>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</si>
  <si>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</si>
  <si>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</si>
  <si>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</si>
  <si>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</si>
  <si>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</si>
  <si>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</si>
  <si>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</si>
  <si>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</si>
  <si>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</si>
  <si>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</si>
  <si>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</si>
  <si>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</si>
  <si>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</si>
  <si>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</si>
  <si>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</si>
  <si>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</si>
  <si>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</si>
  <si>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</si>
  <si>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</si>
  <si>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</si>
  <si>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</si>
  <si>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</si>
  <si>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</si>
  <si>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</si>
  <si>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</si>
  <si>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</si>
  <si>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</si>
  <si>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</si>
  <si>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</si>
  <si>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</si>
  <si>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</si>
  <si>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</si>
  <si>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</si>
  <si>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</si>
  <si>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</si>
  <si>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</si>
  <si>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</si>
  <si>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</si>
  <si>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</si>
  <si>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</si>
  <si>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</si>
  <si>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</si>
  <si>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</si>
  <si>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</si>
  <si>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</si>
  <si>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</si>
  <si>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</si>
  <si>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</si>
  <si>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</si>
  <si>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</si>
  <si>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</si>
  <si>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</si>
  <si>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</si>
  <si>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</si>
  <si>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</si>
  <si>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</si>
  <si>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</si>
  <si>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</si>
  <si>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</si>
  <si>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</si>
  <si>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</si>
  <si>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</si>
  <si>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</si>
  <si>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</si>
  <si>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</si>
  <si>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</si>
  <si>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</si>
  <si>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</si>
  <si>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</si>
  <si>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</si>
  <si>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</si>
  <si>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</si>
  <si>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</si>
  <si>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</si>
  <si>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</si>
  <si>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</si>
  <si>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</si>
  <si>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</si>
  <si>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</si>
  <si>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</si>
  <si>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</si>
  <si>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</si>
  <si>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</si>
  <si>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</si>
  <si>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</si>
  <si>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</si>
  <si>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</si>
  <si>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</si>
  <si>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</si>
  <si>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</si>
  <si>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</si>
  <si>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</si>
  <si>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</si>
  <si>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</si>
  <si>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</si>
  <si>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</si>
  <si>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</si>
  <si>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</si>
  <si>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</si>
  <si>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</si>
  <si>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</si>
  <si>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</si>
  <si>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</si>
  <si>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</si>
  <si>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</si>
  <si>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</si>
  <si>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</si>
  <si>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</si>
  <si>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</si>
  <si>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</si>
  <si>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</si>
  <si>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</si>
  <si>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</si>
  <si>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</si>
  <si>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</si>
  <si>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</si>
  <si>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</si>
  <si>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</si>
  <si>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</si>
  <si>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</si>
  <si>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</si>
  <si>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</si>
  <si>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</si>
  <si>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</si>
  <si>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</si>
  <si>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</si>
  <si>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</si>
  <si>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</si>
  <si>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</si>
  <si>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</si>
  <si>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</si>
  <si>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</si>
  <si>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</si>
  <si>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</si>
  <si>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</si>
  <si>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</si>
  <si>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</si>
  <si>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</si>
  <si>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</si>
  <si>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</si>
  <si>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</si>
  <si>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</si>
  <si>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</si>
  <si>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</si>
  <si>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</si>
  <si>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</si>
  <si>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</si>
  <si>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</si>
  <si>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</si>
  <si>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</si>
  <si>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</si>
  <si>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</si>
  <si>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</si>
  <si>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</si>
  <si>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</si>
  <si>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</si>
  <si>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</si>
  <si>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</si>
  <si>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</si>
  <si>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</si>
  <si>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</si>
  <si>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</si>
  <si>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</si>
  <si>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</si>
  <si>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</si>
  <si>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</si>
  <si>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</si>
  <si>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</si>
  <si>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</si>
  <si>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</si>
  <si>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</si>
  <si>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</si>
  <si>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</si>
  <si>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</si>
  <si>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</si>
  <si>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</si>
  <si>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</si>
  <si>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</si>
  <si>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</si>
  <si>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</si>
  <si>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</si>
  <si>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</si>
  <si>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</si>
  <si>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</si>
  <si>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</si>
  <si>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</si>
  <si>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</si>
  <si>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</si>
  <si>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</si>
  <si>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</si>
  <si>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</si>
  <si>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</si>
  <si>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</si>
  <si>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</si>
  <si>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</si>
  <si>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</si>
  <si>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</si>
  <si>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</si>
  <si>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</si>
  <si>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</si>
  <si>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</si>
  <si>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</si>
  <si>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</si>
  <si>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</si>
  <si>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</si>
  <si>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</si>
  <si>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</si>
  <si>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</si>
  <si>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</si>
  <si>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</si>
  <si>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</si>
  <si>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</si>
  <si>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</si>
  <si>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</si>
  <si>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</si>
  <si>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</si>
  <si>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</si>
  <si>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</si>
  <si>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</si>
  <si>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</si>
  <si>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</si>
  <si>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</si>
  <si>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</si>
  <si>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</si>
  <si>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</si>
  <si>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</si>
  <si>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</si>
  <si>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</si>
  <si>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</si>
  <si>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</si>
  <si>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</si>
  <si>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</si>
  <si>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</si>
  <si>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</si>
  <si>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</si>
  <si>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</si>
  <si>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</si>
  <si>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</si>
  <si>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</si>
  <si>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</si>
  <si>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</si>
  <si>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</si>
  <si>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</si>
  <si>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</si>
  <si>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</si>
  <si>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</si>
  <si>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</si>
  <si>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</si>
  <si>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</si>
  <si>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</si>
  <si>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</si>
  <si>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</si>
  <si>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</si>
  <si>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</si>
  <si>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</si>
  <si>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</si>
  <si>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</si>
  <si>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</si>
  <si>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</si>
  <si>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</si>
  <si>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</si>
  <si>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</si>
  <si>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</si>
  <si>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</si>
  <si>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</si>
  <si>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</si>
  <si>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</si>
  <si>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</si>
  <si>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</si>
  <si>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</si>
  <si>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</si>
  <si>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</si>
  <si>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</si>
  <si>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</si>
  <si>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</si>
  <si>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</si>
  <si>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</si>
  <si>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</si>
  <si>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</si>
  <si>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</si>
  <si>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</si>
  <si>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</si>
  <si>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</si>
  <si>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</si>
  <si>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</si>
  <si>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</si>
  <si>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</si>
  <si>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</si>
  <si>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</si>
  <si>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</si>
  <si>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</si>
  <si>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</si>
  <si>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</si>
  <si>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</si>
  <si>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</si>
  <si>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</si>
  <si>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</si>
  <si>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</si>
  <si>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</si>
  <si>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</si>
  <si>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</si>
  <si>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</si>
  <si>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</si>
  <si>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</si>
  <si>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</si>
  <si>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</si>
  <si>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</si>
  <si>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</si>
  <si>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</si>
  <si>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</si>
  <si>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</si>
  <si>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</si>
  <si>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</si>
  <si>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</si>
  <si>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</si>
  <si>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</si>
  <si>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</si>
  <si>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</si>
  <si>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</si>
  <si>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</si>
  <si>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</si>
  <si>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</si>
  <si>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</si>
  <si>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</si>
  <si>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</si>
  <si>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</si>
  <si>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</si>
  <si>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</si>
  <si>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</si>
  <si>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</si>
  <si>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</si>
  <si>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</si>
  <si>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</si>
  <si>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</si>
  <si>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</si>
  <si>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</si>
  <si>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</si>
  <si>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</si>
  <si>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</si>
  <si>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</si>
  <si>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</si>
  <si>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</si>
  <si>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</si>
  <si>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</si>
  <si>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</si>
  <si>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</si>
  <si>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</si>
  <si>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</si>
  <si>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</si>
  <si>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</si>
  <si>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</si>
  <si>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</si>
  <si>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</si>
  <si>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</si>
  <si>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</si>
  <si>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</si>
  <si>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</si>
  <si>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</si>
  <si>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</si>
  <si>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</si>
  <si>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</si>
  <si>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</si>
  <si>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</si>
  <si>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</si>
  <si>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</si>
  <si>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</si>
  <si>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</si>
  <si>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</si>
  <si>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</si>
  <si>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</si>
  <si>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</si>
  <si>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</si>
  <si>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</si>
  <si>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</si>
  <si>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</si>
  <si>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</si>
  <si>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</si>
  <si>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</si>
  <si>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</si>
  <si>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</si>
  <si>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</si>
  <si>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</si>
  <si>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</si>
  <si>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</si>
  <si>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</si>
  <si>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</si>
  <si>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</si>
  <si>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</si>
  <si>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</si>
  <si>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</si>
  <si>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</si>
  <si>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</si>
  <si>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</si>
  <si>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</si>
  <si>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</si>
  <si>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</si>
  <si>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</si>
  <si>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</si>
  <si>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</si>
  <si>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</si>
  <si>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</si>
  <si>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</si>
  <si>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</si>
  <si>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</si>
  <si>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</si>
  <si>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</si>
  <si>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</si>
  <si>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</si>
  <si>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</si>
  <si>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</si>
  <si>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</si>
  <si>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</si>
  <si>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</si>
  <si>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</si>
  <si>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</si>
  <si>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</si>
  <si>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</si>
  <si>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</si>
  <si>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</si>
  <si>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</si>
  <si>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</si>
  <si>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</si>
  <si>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</si>
  <si>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</si>
  <si>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</si>
  <si>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</si>
  <si>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</si>
  <si>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</si>
  <si>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</si>
  <si>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</si>
  <si>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</si>
  <si>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</si>
  <si>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</si>
  <si>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</si>
  <si>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</si>
  <si>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</si>
  <si>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</si>
  <si>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</si>
  <si>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</si>
  <si>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</si>
  <si>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</si>
  <si>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</si>
  <si>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</si>
  <si>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</si>
  <si>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</si>
  <si>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</si>
  <si>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</si>
  <si>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</si>
  <si>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</si>
  <si>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</si>
  <si>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</si>
  <si>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</si>
  <si>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</si>
  <si>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</si>
  <si>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</si>
  <si>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</si>
  <si>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</si>
  <si>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</si>
  <si>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</si>
  <si>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</si>
  <si>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</si>
  <si>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</si>
  <si>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</si>
  <si>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</si>
  <si>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</si>
  <si>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</si>
  <si>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</si>
  <si>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</si>
  <si>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</si>
  <si>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</si>
  <si>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</si>
  <si>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</si>
  <si>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</si>
  <si>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</si>
  <si>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</si>
  <si>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</si>
  <si>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</si>
  <si>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</si>
  <si>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</si>
  <si>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</si>
  <si>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</si>
  <si>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</si>
  <si>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</si>
  <si>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</si>
  <si>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</si>
  <si>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</si>
  <si>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</si>
  <si>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</si>
  <si>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</si>
  <si>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</si>
  <si>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</si>
  <si>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</si>
  <si>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</si>
  <si>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</si>
  <si>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</si>
  <si>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</si>
  <si>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</si>
  <si>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</si>
  <si>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</si>
  <si>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</si>
  <si>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</si>
  <si>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</si>
  <si>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</si>
  <si>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</si>
  <si>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</si>
  <si>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</si>
  <si>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</si>
  <si>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</si>
  <si>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</si>
  <si>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</si>
  <si>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</si>
  <si>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</si>
  <si>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</si>
  <si>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</si>
  <si>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</si>
  <si>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</si>
  <si>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</si>
  <si>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</si>
  <si>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</si>
  <si>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</si>
  <si>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</si>
  <si>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</si>
  <si>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</si>
  <si>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</si>
  <si>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</si>
  <si>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</si>
  <si>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</si>
  <si>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</si>
  <si>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</si>
  <si>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</si>
  <si>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</si>
  <si>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</si>
  <si>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</si>
  <si>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</si>
  <si>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</si>
  <si>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</si>
  <si>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</si>
  <si>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</si>
  <si>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</si>
  <si>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</si>
  <si>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</si>
  <si>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</si>
  <si>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</si>
  <si>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</si>
  <si>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</si>
  <si>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</si>
  <si>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</si>
  <si>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</si>
  <si>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</si>
  <si>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</si>
  <si>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</si>
  <si>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</si>
  <si>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</si>
  <si>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</si>
  <si>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</si>
  <si>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</si>
  <si>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</si>
  <si>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</si>
  <si>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</si>
  <si>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</si>
  <si>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</si>
  <si>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</si>
  <si>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</si>
  <si>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</si>
  <si>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</si>
  <si>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</si>
  <si>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</si>
  <si>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</si>
  <si>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</si>
  <si>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</si>
  <si>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</si>
  <si>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</si>
  <si>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</si>
  <si>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</si>
  <si>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</si>
  <si>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</si>
  <si>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</si>
  <si>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</si>
  <si>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</si>
  <si>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</si>
  <si>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</si>
  <si>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</si>
  <si>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</si>
  <si>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</si>
  <si>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</si>
  <si>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</si>
  <si>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</si>
  <si>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</si>
  <si>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</si>
  <si>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</si>
  <si>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</si>
  <si>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</si>
  <si>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</si>
  <si>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</si>
  <si>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</si>
  <si>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</si>
  <si>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</si>
  <si>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</si>
  <si>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</si>
  <si>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</si>
  <si>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</si>
  <si>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</si>
  <si>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</si>
  <si>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</si>
  <si>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</si>
  <si>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</si>
  <si>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</si>
  <si>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</si>
  <si>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</si>
  <si>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</si>
  <si>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</si>
  <si>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</si>
  <si>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</si>
  <si>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</si>
  <si>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</si>
  <si>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</si>
  <si>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</si>
  <si>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</si>
  <si>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</si>
  <si>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</si>
  <si>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</si>
  <si>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</si>
  <si>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</si>
  <si>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</si>
  <si>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</si>
  <si>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</si>
  <si>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</si>
  <si>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</si>
  <si>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</si>
  <si>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</si>
  <si>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</si>
  <si>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</si>
  <si>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</si>
  <si>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</si>
  <si>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</si>
  <si>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</si>
  <si>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</si>
  <si>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</si>
  <si>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</si>
  <si>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</si>
  <si>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</si>
  <si>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</si>
  <si>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</si>
  <si>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</si>
  <si>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</si>
  <si>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</si>
  <si>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</si>
  <si>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</si>
  <si>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</si>
  <si>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</si>
  <si>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</si>
  <si>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</si>
  <si>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</si>
  <si>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</si>
  <si>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</si>
  <si>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</si>
  <si>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</si>
  <si>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</si>
  <si>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</si>
  <si>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</si>
  <si>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</si>
  <si>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</si>
  <si>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</si>
  <si>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</si>
  <si>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</si>
  <si>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</si>
  <si>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</si>
  <si>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</si>
  <si>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</si>
  <si>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</si>
  <si>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</si>
  <si>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</si>
  <si>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</si>
  <si>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</si>
  <si>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</si>
  <si>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</si>
  <si>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</si>
  <si>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</si>
  <si>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</si>
  <si>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</si>
  <si>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</si>
  <si>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</si>
  <si>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</si>
  <si>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</si>
  <si>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</si>
  <si>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</si>
  <si>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</si>
  <si>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</si>
  <si>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</si>
  <si>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</si>
  <si>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</si>
  <si>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</si>
  <si>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</si>
  <si>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</si>
  <si>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</si>
  <si>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</si>
  <si>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</si>
  <si>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</si>
  <si>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</si>
  <si>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</si>
  <si>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</si>
  <si>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</si>
  <si>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</si>
  <si>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</si>
  <si>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</si>
  <si>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</si>
  <si>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</si>
  <si>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</si>
  <si>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</si>
  <si>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</si>
  <si>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</si>
  <si>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</si>
  <si>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</si>
  <si>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</si>
  <si>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</si>
  <si>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</si>
  <si>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</si>
  <si>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</si>
  <si>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</si>
  <si>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</si>
  <si>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</si>
  <si>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</si>
  <si>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</si>
  <si>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</si>
  <si>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</si>
  <si>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</si>
  <si>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</si>
  <si>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</si>
  <si>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</si>
  <si>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</si>
  <si>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</si>
  <si>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</si>
  <si>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</si>
  <si>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</si>
  <si>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</si>
  <si>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</si>
  <si>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</si>
  <si>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</si>
  <si>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</si>
  <si>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</si>
  <si>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</si>
  <si>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</si>
  <si>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</si>
  <si>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</si>
  <si>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</si>
  <si>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</si>
  <si>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</si>
  <si>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</si>
  <si>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</si>
  <si>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</si>
  <si>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</si>
  <si>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</si>
  <si>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</si>
  <si>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</si>
  <si>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</si>
  <si>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</si>
  <si>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</si>
  <si>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</si>
  <si>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</si>
  <si>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</si>
  <si>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</si>
  <si>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</si>
  <si>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</si>
  <si>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</si>
  <si>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</si>
  <si>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</si>
  <si>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</si>
  <si>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</si>
  <si>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</si>
  <si>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</si>
  <si>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</si>
  <si>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</si>
  <si>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</si>
  <si>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</si>
  <si>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</si>
  <si>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</si>
  <si>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</si>
  <si>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</si>
  <si>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</si>
  <si>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</si>
  <si>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</si>
  <si>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</si>
  <si>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</si>
  <si>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</si>
  <si>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</si>
  <si>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</si>
  <si>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</si>
  <si>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</si>
  <si>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</si>
  <si>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</si>
  <si>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</si>
  <si>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</si>
  <si>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</si>
  <si>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</si>
  <si>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</si>
  <si>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</si>
  <si>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</si>
  <si>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</si>
  <si>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</si>
  <si>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</si>
  <si>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</si>
  <si>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</si>
  <si>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</si>
  <si>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</si>
  <si>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</si>
  <si>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</si>
  <si>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</si>
  <si>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</si>
  <si>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</si>
  <si>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</si>
  <si>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</si>
  <si>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</si>
  <si>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</si>
  <si>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</si>
  <si>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</si>
  <si>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</si>
  <si>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</si>
  <si>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</si>
  <si>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</si>
  <si>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</si>
  <si>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</si>
  <si>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</si>
  <si>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</si>
  <si>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</si>
  <si>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</si>
  <si>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</si>
  <si>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</si>
  <si>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</si>
  <si>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</si>
  <si>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</si>
  <si>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</si>
  <si>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</si>
  <si>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</si>
  <si>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</si>
  <si>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</si>
  <si>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</si>
  <si>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</si>
  <si>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</si>
  <si>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</si>
  <si>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</si>
  <si>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</si>
  <si>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</si>
  <si>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</si>
  <si>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</si>
  <si>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</si>
  <si>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</si>
  <si>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</si>
  <si>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</si>
  <si>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</si>
  <si>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</si>
  <si>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</si>
  <si>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</si>
  <si>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</si>
  <si>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</si>
  <si>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</si>
  <si>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</si>
  <si>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</si>
  <si>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</si>
  <si>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</si>
  <si>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</si>
  <si>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</si>
  <si>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</si>
  <si>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</si>
  <si>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</si>
  <si>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</si>
  <si>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</si>
  <si>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</si>
  <si>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</si>
  <si>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</si>
  <si>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</si>
  <si>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</si>
  <si>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</si>
  <si>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</si>
  <si>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</si>
  <si>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</si>
  <si>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</si>
  <si>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</si>
  <si>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</si>
  <si>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</si>
  <si>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</si>
  <si>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</si>
  <si>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</si>
  <si>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</si>
  <si>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</si>
  <si>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</si>
  <si>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</si>
  <si>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</si>
  <si>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</si>
  <si>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</si>
  <si>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</si>
  <si>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</si>
  <si>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</si>
  <si>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</si>
  <si>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</si>
  <si>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</si>
  <si>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</si>
  <si>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</si>
  <si>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</si>
  <si>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</si>
  <si>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</si>
  <si>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</si>
  <si>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</si>
  <si>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</si>
  <si>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</si>
  <si>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</si>
  <si>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</si>
  <si>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</si>
  <si>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</si>
  <si>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</si>
  <si>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</si>
  <si>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</si>
  <si>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</si>
  <si>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</si>
  <si>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</si>
  <si>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</si>
  <si>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</si>
  <si>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</si>
  <si>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</si>
  <si>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</si>
  <si>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</si>
  <si>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</si>
  <si>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</si>
  <si>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</si>
  <si>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</si>
  <si>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</si>
  <si>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</si>
  <si>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</si>
  <si>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</si>
  <si>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</si>
  <si>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</si>
  <si>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</si>
  <si>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</si>
  <si>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</si>
  <si>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</si>
  <si>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</si>
  <si>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</si>
  <si>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</si>
  <si>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</si>
  <si>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</si>
  <si>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</si>
  <si>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</si>
  <si>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</si>
  <si>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</si>
  <si>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</si>
  <si>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</si>
  <si>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</si>
  <si>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</si>
  <si>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</si>
  <si>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</si>
  <si>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</si>
  <si>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</si>
  <si>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</si>
  <si>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</si>
  <si>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</si>
  <si>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</si>
  <si>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</si>
  <si>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</si>
  <si>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</si>
  <si>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</si>
  <si>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</si>
  <si>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</si>
  <si>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</si>
  <si>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</si>
  <si>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</si>
  <si>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</si>
  <si>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</si>
  <si>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</si>
  <si>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</si>
  <si>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</si>
  <si>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</si>
  <si>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</si>
  <si>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</si>
  <si>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</si>
  <si>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</si>
  <si>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</si>
  <si>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</si>
  <si>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</si>
  <si>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</si>
  <si>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</si>
  <si>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</si>
  <si>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</si>
  <si>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</si>
  <si>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</si>
  <si>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</si>
  <si>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</si>
  <si>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</si>
  <si>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</si>
  <si>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</si>
  <si>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</si>
  <si>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</si>
  <si>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</si>
  <si>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</si>
  <si>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</si>
  <si>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</si>
  <si>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</si>
  <si>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</si>
  <si>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</si>
  <si>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</si>
  <si>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</si>
  <si>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</si>
  <si>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</si>
  <si>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</si>
  <si>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</si>
  <si>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</si>
  <si>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</si>
  <si>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</si>
  <si>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</si>
  <si>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</si>
  <si>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</si>
  <si>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</si>
  <si>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</si>
  <si>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</si>
  <si>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</si>
  <si>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</si>
  <si>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</si>
  <si>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</si>
  <si>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</si>
  <si>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</si>
  <si>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</si>
  <si>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</si>
  <si>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</si>
  <si>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</si>
  <si>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</si>
  <si>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</si>
  <si>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</si>
  <si>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</si>
  <si>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</si>
  <si>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</si>
  <si>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</si>
  <si>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</si>
  <si>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</si>
  <si>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</si>
  <si>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</si>
  <si>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</si>
  <si>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</si>
  <si>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</si>
  <si>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</si>
  <si>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</si>
  <si>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</si>
  <si>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</si>
  <si>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</si>
  <si>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</si>
  <si>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</si>
  <si>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</si>
  <si>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</si>
  <si>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</si>
  <si>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</si>
  <si>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</si>
  <si>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</si>
  <si>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</si>
  <si>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</si>
  <si>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</si>
  <si>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</si>
  <si>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</si>
  <si>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</si>
  <si>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</si>
  <si>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</si>
  <si>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</si>
  <si>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</si>
  <si>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</si>
  <si>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</si>
  <si>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</si>
  <si>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</si>
  <si>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</si>
  <si>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</si>
  <si>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</si>
  <si>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</si>
  <si>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</si>
  <si>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</si>
  <si>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</si>
  <si>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</si>
  <si>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</si>
  <si>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</si>
  <si>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</si>
  <si>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</si>
  <si>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</si>
  <si>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</si>
  <si>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</si>
  <si>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</si>
  <si>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</si>
  <si>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</si>
  <si>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</si>
  <si>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</si>
  <si>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</si>
  <si>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</si>
  <si>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</si>
  <si>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</si>
  <si>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</si>
  <si>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</si>
  <si>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</si>
  <si>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</si>
  <si>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</si>
  <si>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</si>
  <si>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</si>
  <si>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</si>
  <si>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</si>
  <si>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</si>
  <si>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</si>
  <si>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</si>
  <si>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</si>
  <si>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</si>
  <si>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</si>
  <si>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</si>
  <si>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</si>
  <si>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</si>
  <si>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</si>
  <si>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</si>
  <si>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</si>
  <si>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</si>
  <si>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</si>
  <si>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</si>
  <si>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</si>
  <si>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</si>
  <si>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</si>
  <si>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</si>
  <si>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</si>
  <si>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</si>
  <si>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</si>
  <si>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</si>
  <si>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</si>
  <si>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</si>
  <si>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</si>
  <si>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</si>
  <si>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</si>
  <si>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</si>
  <si>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</si>
  <si>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</si>
  <si>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</si>
  <si>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</si>
  <si>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</si>
  <si>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</si>
  <si>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</si>
  <si>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</si>
  <si>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</si>
  <si>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</si>
  <si>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</si>
  <si>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</si>
  <si>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</si>
  <si>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</si>
  <si>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</si>
  <si>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</si>
  <si>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</si>
  <si>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</si>
  <si>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</si>
  <si>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</si>
  <si>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</si>
  <si>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</si>
  <si>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</si>
  <si>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</si>
  <si>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</si>
  <si>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</si>
  <si>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</si>
  <si>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</si>
  <si>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</si>
  <si>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</si>
  <si>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</si>
  <si>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</si>
  <si>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</si>
  <si>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</si>
  <si>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</si>
  <si>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</si>
  <si>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</si>
  <si>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</si>
  <si>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</si>
  <si>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</si>
  <si>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</si>
  <si>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</si>
  <si>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</si>
  <si>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</si>
  <si>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</si>
  <si>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</si>
  <si>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</si>
  <si>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</si>
  <si>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</si>
  <si>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</si>
  <si>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</si>
  <si>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</si>
  <si>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</si>
  <si>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</si>
  <si>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</si>
  <si>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</si>
  <si>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</si>
  <si>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</si>
  <si>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</si>
  <si>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</si>
  <si>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</si>
  <si>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</si>
  <si>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</si>
  <si>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</si>
  <si>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</si>
  <si>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</si>
  <si>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</si>
  <si>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</si>
  <si>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</si>
  <si>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</si>
  <si>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</si>
  <si>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</si>
  <si>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</si>
  <si>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</si>
  <si>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</si>
  <si>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</si>
  <si>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</si>
  <si>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</si>
  <si>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</si>
  <si>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</si>
  <si>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</si>
  <si>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</si>
  <si>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</si>
  <si>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</si>
  <si>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</si>
  <si>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</si>
  <si>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</si>
  <si>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</si>
  <si>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</si>
  <si>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</si>
  <si>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</si>
  <si>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</si>
  <si>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</si>
  <si>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</si>
  <si>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</si>
  <si>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</si>
  <si>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</si>
  <si>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</si>
  <si>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</si>
  <si>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</si>
  <si>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</si>
  <si>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</si>
  <si>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</si>
  <si>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</si>
  <si>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</si>
  <si>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</si>
  <si>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</si>
  <si>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</si>
  <si>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</si>
  <si>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</si>
  <si>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</si>
  <si>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</si>
  <si>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</si>
  <si>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</si>
  <si>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</si>
  <si>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</si>
  <si>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</si>
  <si>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</si>
  <si>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</si>
  <si>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</si>
  <si>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</si>
  <si>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</si>
  <si>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</si>
  <si>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</si>
  <si>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</si>
  <si>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</si>
  <si>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</si>
  <si>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</si>
  <si>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</si>
  <si>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</si>
  <si>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</si>
  <si>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</si>
  <si>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</si>
  <si>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</si>
  <si>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</si>
  <si>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</si>
  <si>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</si>
  <si>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</si>
  <si>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</si>
  <si>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</si>
  <si>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</si>
  <si>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</si>
  <si>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</si>
  <si>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</si>
  <si>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</si>
  <si>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</si>
  <si>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</si>
  <si>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</si>
  <si>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</si>
  <si>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</si>
  <si>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</si>
  <si>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</si>
  <si>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</si>
  <si>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</si>
  <si>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</si>
  <si>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</si>
  <si>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</si>
  <si>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</si>
  <si>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</si>
  <si>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</si>
  <si>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</si>
  <si>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</si>
  <si>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</si>
  <si>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</si>
  <si>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</si>
  <si>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</si>
  <si>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</si>
  <si>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</si>
  <si>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</si>
  <si>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</si>
  <si>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</si>
  <si>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</si>
  <si>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</si>
  <si>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</si>
  <si>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</si>
  <si>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</si>
  <si>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</si>
  <si>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</si>
  <si>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</si>
  <si>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</si>
  <si>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</si>
  <si>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</si>
  <si>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</si>
  <si>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</si>
  <si>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</si>
  <si>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</si>
  <si>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</si>
  <si>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</si>
  <si>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</si>
  <si>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</si>
  <si>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</si>
  <si>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</si>
  <si>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</si>
  <si>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</si>
  <si>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</si>
  <si>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</si>
  <si>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</si>
  <si>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</si>
  <si>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</si>
  <si>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</si>
  <si>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</si>
  <si>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</si>
  <si>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</si>
  <si>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</si>
  <si>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</si>
  <si>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</si>
  <si>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</si>
  <si>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</si>
  <si>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</si>
  <si>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</si>
  <si>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</si>
  <si>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</si>
  <si>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</si>
  <si>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</si>
  <si>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</si>
  <si>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</si>
  <si>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</si>
  <si>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</si>
  <si>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</si>
  <si>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</si>
  <si>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</si>
  <si>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</si>
  <si>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</si>
  <si>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</si>
  <si>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</si>
  <si>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</si>
  <si>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</si>
  <si>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</si>
  <si>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</si>
  <si>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</si>
  <si>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</si>
  <si>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</si>
  <si>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</si>
  <si>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</si>
  <si>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</si>
  <si>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</si>
  <si>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</si>
  <si>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</si>
  <si>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</si>
  <si>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</si>
  <si>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</si>
  <si>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</si>
  <si>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</si>
  <si>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</si>
  <si>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</si>
  <si>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</si>
  <si>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</si>
  <si>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</si>
  <si>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</si>
  <si>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</si>
  <si>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</si>
  <si>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</si>
  <si>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</si>
  <si>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</si>
  <si>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</si>
  <si>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</si>
  <si>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</si>
  <si>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</si>
  <si>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</si>
  <si>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</si>
  <si>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</si>
  <si>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</si>
  <si>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</si>
  <si>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</si>
  <si>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</si>
  <si>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</si>
  <si>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</si>
  <si>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</si>
  <si>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</si>
  <si>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</si>
  <si>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</si>
  <si>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</si>
  <si>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</si>
  <si>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</si>
  <si>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</si>
  <si>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</si>
  <si>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</si>
  <si>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</si>
  <si>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</si>
  <si>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</si>
  <si>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</si>
  <si>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</si>
  <si>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</si>
  <si>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</si>
  <si>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</si>
  <si>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</si>
  <si>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</si>
  <si>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</si>
  <si>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</si>
  <si>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</si>
  <si>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</si>
  <si>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</si>
  <si>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</si>
  <si>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</si>
  <si>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</si>
  <si>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</si>
  <si>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</si>
  <si>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</si>
  <si>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</si>
  <si>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</si>
  <si>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</si>
  <si>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</si>
  <si>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</si>
  <si>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</si>
  <si>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</si>
  <si>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</si>
  <si>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</si>
  <si>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</si>
  <si>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</si>
  <si>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</si>
  <si>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</si>
  <si>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</si>
  <si>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</si>
  <si>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</si>
  <si>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</si>
  <si>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</si>
  <si>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</si>
  <si>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</si>
  <si>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</si>
  <si>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</si>
  <si>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</si>
  <si>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</si>
  <si>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</si>
  <si>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</si>
  <si>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</si>
  <si>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</si>
  <si>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</si>
  <si>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</si>
  <si>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</si>
  <si>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</si>
  <si>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</si>
  <si>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</si>
  <si>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</si>
  <si>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</si>
  <si>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</si>
  <si>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</si>
  <si>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</si>
  <si>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</si>
  <si>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</si>
  <si>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</si>
  <si>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</si>
  <si>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</si>
  <si>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</si>
  <si>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</si>
  <si>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</si>
  <si>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</si>
  <si>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</si>
  <si>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</si>
  <si>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</si>
  <si>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</si>
  <si>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</si>
  <si>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</si>
  <si>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</si>
  <si>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</si>
  <si>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</si>
  <si>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</si>
  <si>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</si>
  <si>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</si>
  <si>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</si>
  <si>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</si>
  <si>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</si>
  <si>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</si>
  <si>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</si>
  <si>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</si>
  <si>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</si>
  <si>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</si>
  <si>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</si>
  <si>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</si>
  <si>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</si>
  <si>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</si>
  <si>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</si>
  <si>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</si>
  <si>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</si>
  <si>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</si>
  <si>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</si>
  <si>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</si>
  <si>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</si>
  <si>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</si>
  <si>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</si>
  <si>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</si>
  <si>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</si>
  <si>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</si>
  <si>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</si>
  <si>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</si>
  <si>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</si>
  <si>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</si>
  <si>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</si>
  <si>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</si>
  <si>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</si>
  <si>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</si>
  <si>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</si>
  <si>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</si>
  <si>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</si>
  <si>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</si>
  <si>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</si>
  <si>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</si>
  <si>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</si>
  <si>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</si>
  <si>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</si>
  <si>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</si>
  <si>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</si>
  <si>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</si>
  <si>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</si>
  <si>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</si>
  <si>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</si>
  <si>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</si>
  <si>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</si>
  <si>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</si>
  <si>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</si>
  <si>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</si>
  <si>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</si>
  <si>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</si>
  <si>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</si>
  <si>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</si>
  <si>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</si>
  <si>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</si>
  <si>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</si>
  <si>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</si>
  <si>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</si>
  <si>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</si>
  <si>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</si>
  <si>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</si>
  <si>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</si>
  <si>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</si>
  <si>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</si>
  <si>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</si>
  <si>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</si>
  <si>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</si>
  <si>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</si>
  <si>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</si>
  <si>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</si>
  <si>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</si>
  <si>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</si>
  <si>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</si>
  <si>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</si>
  <si>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</si>
  <si>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</si>
  <si>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</si>
  <si>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</si>
  <si>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</si>
  <si>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</si>
  <si>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</si>
  <si>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</si>
  <si>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</si>
  <si>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</si>
  <si>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</si>
  <si>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</si>
  <si>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</si>
  <si>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</si>
  <si>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</si>
  <si>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</si>
  <si>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</si>
  <si>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</si>
  <si>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</si>
  <si>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</si>
  <si>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</si>
  <si>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</si>
  <si>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</si>
  <si>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</si>
  <si>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</si>
  <si>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</si>
  <si>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</si>
  <si>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</si>
  <si>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</si>
  <si>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</si>
  <si>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</si>
  <si>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</si>
  <si>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</si>
  <si>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</si>
  <si>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</si>
  <si>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</si>
  <si>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</si>
  <si>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</si>
  <si>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</si>
  <si>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</si>
  <si>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</si>
  <si>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</si>
  <si>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</si>
  <si>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</si>
  <si>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</si>
  <si>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</si>
  <si>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</si>
  <si>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</si>
  <si>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</si>
  <si>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</si>
  <si>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</si>
  <si>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</si>
  <si>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</si>
  <si>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</si>
  <si>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</si>
  <si>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</si>
  <si>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</si>
  <si>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</si>
  <si>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</si>
  <si>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</si>
  <si>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</si>
  <si>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</si>
  <si>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</si>
  <si>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</si>
  <si>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</si>
  <si>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</si>
  <si>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</si>
  <si>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</si>
  <si>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</si>
  <si>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</si>
  <si>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</si>
  <si>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</si>
  <si>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</si>
  <si>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</si>
  <si>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</si>
  <si>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</si>
  <si>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</si>
  <si>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</si>
  <si>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</si>
  <si>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</si>
  <si>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</si>
  <si>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</si>
  <si>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</si>
  <si>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</si>
  <si>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</si>
  <si>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</si>
  <si>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</si>
  <si>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</si>
  <si>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</si>
  <si>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</si>
  <si>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</si>
  <si>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</si>
  <si>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</si>
  <si>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</si>
  <si>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</si>
  <si>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</si>
  <si>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</si>
  <si>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</si>
  <si>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</si>
  <si>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</si>
  <si>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</si>
  <si>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</si>
  <si>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</si>
  <si>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</si>
  <si>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</si>
  <si>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</si>
  <si>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</si>
  <si>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</si>
  <si>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</si>
  <si>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</si>
  <si>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</si>
  <si>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</si>
  <si>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</si>
  <si>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</si>
  <si>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</si>
  <si>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</si>
  <si>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</si>
  <si>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</si>
  <si>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</si>
  <si>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</si>
  <si>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</si>
  <si>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</si>
  <si>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</si>
  <si>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</si>
  <si>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</si>
  <si>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</si>
  <si>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</si>
  <si>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</si>
  <si>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</si>
  <si>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</si>
  <si>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</si>
  <si>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</si>
  <si>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</si>
  <si>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</si>
  <si>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</si>
  <si>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</si>
  <si>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</si>
  <si>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</si>
  <si>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</si>
  <si>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</si>
  <si>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</si>
  <si>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</si>
  <si>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</si>
  <si>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</si>
  <si>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</si>
  <si>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</si>
  <si>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</si>
  <si>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</si>
  <si>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</si>
  <si>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</si>
  <si>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</si>
  <si>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</si>
  <si>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</si>
  <si>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</si>
  <si>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</si>
  <si>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</si>
  <si>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</si>
  <si>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</si>
  <si>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</si>
  <si>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</si>
  <si>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</si>
  <si>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</si>
  <si>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</si>
  <si>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</si>
  <si>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</si>
  <si>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</si>
  <si>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</si>
  <si>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</si>
  <si>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</si>
  <si>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</si>
  <si>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</si>
  <si>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</si>
  <si>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</si>
  <si>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</si>
  <si>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</si>
  <si>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</si>
  <si>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</si>
  <si>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</si>
  <si>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</si>
  <si>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</si>
  <si>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</si>
  <si>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</si>
  <si>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</si>
  <si>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</si>
  <si>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</si>
  <si>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</si>
  <si>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</si>
  <si>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</si>
  <si>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</si>
  <si>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</si>
  <si>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</si>
  <si>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</si>
  <si>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</si>
  <si>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</si>
  <si>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</si>
  <si>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</si>
  <si>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</si>
  <si>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</si>
  <si>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</si>
  <si>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</si>
  <si>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</si>
  <si>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</si>
  <si>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</si>
  <si>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</si>
  <si>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</si>
  <si>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</si>
  <si>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</si>
  <si>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</si>
  <si>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</si>
  <si>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</si>
  <si>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</si>
  <si>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</si>
  <si>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</si>
  <si>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</si>
  <si>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</si>
  <si>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</si>
  <si>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</si>
  <si>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</si>
  <si>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</si>
  <si>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</si>
  <si>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</si>
  <si>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</si>
  <si>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</si>
  <si>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</si>
  <si>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</si>
  <si>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</si>
  <si>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</si>
  <si>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</si>
  <si>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</si>
  <si>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</si>
  <si>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</si>
  <si>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</si>
  <si>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</si>
  <si>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</si>
  <si>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</si>
  <si>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</si>
  <si>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</si>
  <si>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</si>
  <si>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</si>
  <si>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</si>
  <si>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</si>
  <si>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</si>
  <si>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</si>
  <si>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</si>
  <si>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</si>
  <si>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</si>
  <si>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</si>
  <si>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</si>
  <si>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</si>
  <si>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</si>
  <si>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</si>
  <si>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</si>
  <si>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</si>
  <si>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</si>
  <si>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</si>
  <si>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</si>
  <si>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</si>
  <si>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</si>
  <si>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</si>
  <si>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</si>
  <si>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</si>
  <si>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</si>
  <si>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</si>
  <si>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</si>
  <si>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</si>
  <si>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</si>
  <si>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</si>
  <si>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</si>
  <si>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</si>
  <si>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</si>
  <si>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</si>
  <si>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</si>
  <si>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</si>
  <si>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</si>
  <si>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</si>
  <si>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</si>
  <si>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</si>
  <si>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</si>
  <si>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</si>
  <si>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</si>
  <si>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</si>
  <si>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</si>
  <si>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</si>
  <si>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</si>
  <si>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</si>
  <si>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</si>
  <si>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</si>
  <si>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</si>
  <si>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</si>
  <si>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</si>
  <si>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</si>
  <si>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</si>
  <si>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</si>
  <si>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</si>
  <si>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</si>
  <si>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</si>
  <si>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</si>
  <si>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</si>
  <si>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</si>
  <si>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</si>
  <si>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</si>
  <si>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</si>
  <si>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</si>
  <si>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</si>
  <si>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</si>
  <si>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</si>
  <si>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</si>
  <si>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</si>
  <si>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</si>
  <si>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</si>
  <si>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</si>
  <si>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</si>
  <si>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</si>
  <si>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</si>
  <si>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</si>
  <si>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</si>
  <si>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</si>
  <si>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</si>
  <si>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</si>
  <si>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</si>
  <si>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</si>
  <si>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</si>
  <si>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</si>
  <si>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</si>
  <si>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</si>
  <si>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</si>
  <si>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</si>
  <si>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</si>
  <si>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</si>
  <si>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</si>
  <si>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</si>
  <si>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</si>
  <si>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</si>
  <si>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</si>
  <si>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</si>
  <si>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</si>
  <si>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</si>
  <si>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</si>
  <si>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</si>
  <si>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</si>
  <si>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</si>
  <si>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</si>
  <si>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</si>
  <si>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</si>
  <si>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</si>
  <si>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</si>
  <si>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</si>
  <si>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</si>
  <si>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</si>
  <si>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</si>
  <si>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</si>
  <si>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</si>
  <si>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</si>
  <si>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</si>
  <si>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</si>
  <si>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</si>
  <si>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</si>
  <si>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</si>
  <si>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</si>
  <si>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</si>
  <si>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</si>
  <si>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</si>
  <si>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</si>
  <si>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</si>
  <si>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</si>
  <si>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</si>
  <si>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</si>
  <si>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</si>
  <si>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</si>
  <si>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</si>
  <si>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</si>
  <si>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</si>
  <si>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</si>
  <si>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</si>
  <si>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</si>
  <si>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</si>
  <si>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</si>
  <si>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</si>
  <si>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</si>
  <si>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</si>
  <si>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</si>
  <si>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</si>
  <si>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</si>
  <si>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</si>
  <si>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</si>
  <si>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</si>
  <si>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</si>
  <si>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</si>
  <si>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</si>
  <si>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</si>
  <si>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</si>
  <si>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</si>
  <si>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</si>
  <si>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</si>
  <si>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</si>
  <si>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</si>
  <si>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</si>
  <si>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</si>
  <si>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</si>
  <si>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</si>
  <si>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</si>
  <si>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</si>
  <si>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</si>
  <si>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</si>
  <si>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</si>
  <si>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</si>
  <si>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</si>
  <si>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</si>
  <si>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</si>
  <si>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</si>
  <si>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</si>
  <si>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</si>
  <si>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</si>
  <si>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</si>
  <si>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</si>
  <si>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</si>
  <si>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</si>
  <si>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</si>
  <si>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</si>
  <si>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</si>
  <si>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</si>
  <si>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</si>
  <si>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</si>
  <si>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</si>
  <si>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</si>
  <si>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</si>
  <si>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</si>
  <si>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</si>
  <si>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</si>
  <si>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</si>
  <si>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</si>
  <si>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</si>
  <si>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</si>
  <si>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</si>
  <si>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</si>
  <si>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</si>
  <si>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</si>
  <si>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</si>
  <si>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</si>
  <si>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</si>
  <si>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</si>
  <si>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</si>
  <si>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</si>
  <si>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</si>
  <si>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</si>
  <si>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</si>
  <si>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</si>
  <si>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</si>
  <si>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</si>
  <si>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</si>
  <si>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</si>
  <si>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</si>
  <si>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</si>
  <si>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</si>
  <si>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</si>
  <si>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</si>
  <si>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</si>
  <si>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</si>
  <si>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</si>
  <si>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</si>
  <si>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</si>
  <si>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</si>
  <si>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</si>
  <si>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</si>
  <si>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</si>
  <si>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</si>
  <si>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</si>
  <si>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</si>
  <si>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</si>
  <si>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</si>
  <si>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</si>
  <si>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</si>
  <si>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</si>
  <si>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</si>
  <si>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</si>
  <si>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</si>
  <si>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</si>
  <si>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</si>
  <si>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</si>
  <si>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</si>
  <si>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</si>
  <si>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</si>
  <si>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</si>
  <si>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</si>
  <si>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</si>
  <si>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</si>
  <si>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</si>
  <si>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</si>
  <si>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</si>
  <si>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</si>
  <si>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</si>
  <si>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</si>
  <si>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</si>
  <si>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</si>
  <si>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</si>
  <si>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</si>
  <si>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</si>
  <si>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</si>
  <si>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</si>
  <si>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</si>
  <si>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</si>
  <si>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</si>
  <si>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</si>
  <si>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</si>
  <si>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</si>
  <si>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</si>
  <si>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</si>
  <si>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</si>
  <si>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</si>
  <si>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</si>
  <si>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</si>
  <si>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</si>
  <si>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</si>
  <si>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</si>
  <si>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</si>
  <si>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</si>
  <si>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</si>
  <si>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</si>
  <si>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</si>
  <si>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</si>
  <si>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</si>
  <si>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</si>
  <si>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</si>
  <si>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</si>
  <si>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</si>
  <si>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</si>
  <si>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</si>
  <si>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</si>
  <si>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</si>
  <si>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</si>
  <si>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</si>
  <si>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</si>
  <si>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</si>
  <si>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</si>
  <si>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</si>
  <si>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</si>
  <si>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</si>
  <si>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</si>
  <si>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</si>
  <si>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</si>
  <si>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</si>
  <si>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</si>
  <si>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</si>
  <si>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</si>
  <si>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</si>
  <si>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</si>
  <si>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</si>
  <si>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</si>
  <si>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</si>
  <si>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</si>
  <si>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</si>
  <si>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</si>
  <si>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</si>
  <si>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</si>
  <si>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</si>
  <si>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</si>
  <si>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</si>
  <si>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</si>
  <si>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</si>
  <si>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</si>
  <si>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</si>
  <si>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</si>
  <si>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</si>
  <si>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</si>
  <si>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</si>
  <si>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</si>
  <si>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</si>
  <si>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</si>
  <si>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</si>
  <si>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</si>
  <si>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</si>
  <si>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</si>
  <si>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</si>
  <si>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</si>
  <si>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</si>
  <si>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</si>
  <si>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</si>
  <si>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</si>
  <si>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</si>
  <si>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</si>
  <si>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</si>
  <si>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</si>
  <si>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</si>
  <si>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</si>
  <si>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</si>
  <si>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</si>
  <si>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</si>
  <si>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</si>
  <si>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</si>
  <si>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</si>
  <si>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</si>
  <si>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</si>
  <si>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</si>
  <si>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</si>
  <si>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</si>
  <si>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</si>
  <si>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</si>
  <si>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</si>
  <si>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</si>
  <si>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</si>
  <si>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</si>
  <si>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</si>
  <si>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</si>
  <si>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</si>
  <si>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</si>
  <si>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</si>
  <si>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</si>
  <si>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</si>
  <si>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</si>
  <si>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</si>
  <si>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</si>
  <si>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</si>
  <si>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</si>
  <si>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</si>
  <si>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</si>
  <si>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</si>
  <si>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</si>
  <si>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</si>
  <si>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</si>
  <si>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</si>
  <si>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</si>
  <si>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</si>
  <si>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</si>
  <si>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</si>
  <si>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</si>
  <si>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</si>
  <si>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</si>
  <si>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</si>
  <si>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</si>
  <si>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</si>
  <si>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</si>
  <si>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</si>
  <si>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</si>
  <si>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</si>
  <si>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</si>
  <si>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</si>
  <si>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</si>
  <si>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</si>
  <si>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</si>
  <si>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</si>
  <si>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</si>
  <si>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</si>
  <si>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</si>
  <si>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</si>
  <si>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</si>
  <si>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</si>
  <si>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</si>
  <si>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</si>
  <si>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</si>
  <si>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</si>
  <si>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</si>
  <si>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</si>
  <si>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</si>
  <si>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</si>
  <si>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</si>
  <si>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</si>
  <si>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</si>
  <si>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</si>
  <si>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</si>
  <si>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</si>
  <si>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</si>
  <si>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</si>
  <si>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</si>
  <si>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</si>
  <si>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</si>
  <si>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</si>
  <si>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</si>
  <si>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</si>
  <si>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</si>
  <si>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</si>
  <si>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</si>
  <si>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</si>
  <si>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</si>
  <si>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</si>
  <si>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</si>
  <si>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</si>
  <si>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</si>
  <si>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</si>
  <si>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</si>
  <si>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</si>
  <si>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</si>
  <si>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</si>
  <si>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</si>
  <si>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</si>
  <si>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</si>
  <si>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</si>
  <si>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</si>
  <si>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</si>
  <si>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</si>
  <si>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</si>
  <si>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</si>
  <si>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</si>
  <si>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</si>
  <si>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</si>
  <si>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</si>
  <si>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</si>
  <si>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</si>
  <si>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</si>
  <si>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</si>
  <si>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</si>
  <si>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</si>
  <si>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</si>
  <si>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</si>
  <si>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</si>
  <si>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</si>
  <si>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</si>
  <si>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</si>
  <si>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</si>
  <si>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</si>
  <si>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</si>
  <si>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</si>
  <si>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</si>
  <si>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</si>
  <si>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</si>
  <si>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</si>
  <si>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</si>
  <si>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</si>
  <si>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</si>
  <si>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</si>
  <si>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</si>
  <si>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</si>
  <si>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</si>
  <si>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</si>
  <si>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</si>
  <si>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</si>
  <si>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</si>
  <si>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</si>
  <si>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</si>
  <si>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</si>
  <si>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</si>
  <si>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</si>
  <si>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</si>
  <si>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</si>
  <si>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</si>
  <si>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</si>
  <si>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</si>
  <si>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</si>
  <si>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</si>
  <si>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</si>
  <si>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</si>
  <si>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</si>
  <si>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</si>
  <si>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</si>
  <si>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</si>
  <si>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</si>
  <si>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</si>
  <si>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</si>
  <si>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</si>
  <si>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</si>
  <si>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</si>
  <si>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</si>
  <si>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</si>
  <si>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</si>
  <si>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</si>
  <si>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</si>
  <si>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</si>
  <si>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</si>
  <si>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</si>
  <si>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</si>
  <si>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</si>
  <si>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</si>
  <si>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</si>
  <si>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</si>
  <si>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</si>
  <si>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</si>
  <si>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</si>
  <si>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</si>
  <si>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</si>
  <si>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</si>
  <si>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</si>
  <si>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</si>
  <si>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</si>
  <si>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</si>
  <si>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</si>
  <si>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</si>
  <si>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</si>
  <si>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</si>
  <si>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</si>
  <si>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</si>
  <si>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</si>
  <si>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</si>
  <si>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</si>
  <si>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</si>
  <si>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</si>
  <si>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</si>
  <si>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</si>
  <si>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</si>
  <si>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</si>
  <si>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</si>
  <si>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</si>
  <si>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</si>
  <si>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</si>
  <si>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</si>
  <si>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</si>
  <si>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</si>
  <si>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</si>
  <si>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</si>
  <si>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</si>
  <si>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</si>
  <si>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</si>
  <si>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</si>
  <si>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</si>
  <si>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</si>
  <si>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</si>
  <si>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</si>
  <si>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</si>
  <si>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</si>
  <si>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</si>
  <si>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</si>
  <si>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</si>
  <si>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</si>
  <si>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</si>
  <si>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</si>
  <si>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</si>
  <si>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</si>
  <si>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</si>
  <si>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</si>
  <si>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</si>
  <si>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</si>
  <si>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</si>
  <si>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</si>
  <si>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</si>
  <si>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</si>
  <si>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</si>
  <si>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</si>
  <si>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</si>
  <si>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</si>
  <si>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</si>
  <si>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</si>
  <si>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</si>
  <si>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</si>
  <si>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</si>
  <si>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</si>
  <si>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</si>
  <si>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</si>
  <si>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</si>
  <si>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</si>
  <si>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</si>
  <si>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</si>
  <si>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</si>
  <si>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</si>
  <si>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</si>
  <si>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</si>
  <si>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</si>
  <si>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</si>
  <si>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</si>
  <si>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</si>
  <si>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</si>
  <si>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</si>
  <si>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</si>
  <si>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</si>
  <si>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</si>
  <si>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</si>
  <si>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</si>
  <si>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</si>
  <si>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</si>
  <si>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</si>
  <si>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</si>
  <si>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</si>
  <si>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</si>
  <si>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</si>
  <si>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</si>
  <si>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</si>
  <si>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</si>
  <si>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</si>
  <si>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</si>
  <si>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</si>
  <si>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</si>
  <si>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</si>
  <si>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</si>
  <si>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</si>
  <si>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</si>
  <si>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</si>
  <si>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</si>
  <si>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</si>
  <si>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</si>
  <si>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</si>
  <si>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</si>
  <si>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</si>
  <si>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</si>
  <si>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</si>
  <si>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</si>
  <si>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</si>
  <si>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</si>
  <si>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</si>
  <si>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</si>
  <si>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</si>
  <si>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</si>
  <si>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</si>
  <si>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</si>
  <si>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</si>
  <si>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</si>
  <si>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</si>
  <si>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</si>
  <si>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</si>
  <si>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</si>
  <si>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</si>
  <si>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</si>
  <si>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</si>
  <si>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</si>
  <si>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</si>
  <si>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</si>
  <si>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</si>
  <si>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</si>
  <si>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</si>
  <si>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</si>
  <si>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</si>
  <si>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</si>
  <si>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</si>
  <si>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</si>
  <si>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</si>
  <si>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</si>
  <si>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</si>
  <si>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</si>
  <si>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</si>
  <si>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</si>
  <si>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</si>
  <si>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</si>
  <si>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</si>
  <si>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</si>
  <si>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</si>
  <si>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</si>
  <si>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</si>
  <si>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</si>
  <si>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</si>
  <si>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</si>
  <si>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</si>
  <si>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</si>
  <si>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</si>
  <si>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</si>
  <si>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</si>
  <si>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</si>
  <si>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</si>
  <si>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</si>
  <si>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</si>
  <si>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</si>
  <si>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</si>
  <si>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</si>
  <si>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</si>
  <si>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</si>
  <si>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</si>
  <si>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</si>
  <si>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</si>
  <si>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</si>
  <si>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</si>
  <si>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</si>
  <si>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</si>
  <si>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</si>
  <si>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</si>
  <si>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</si>
  <si>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</si>
  <si>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</si>
  <si>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</si>
  <si>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</si>
  <si>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</si>
  <si>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</si>
  <si>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</si>
  <si>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</si>
  <si>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</si>
  <si>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</si>
  <si>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</si>
  <si>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</si>
  <si>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</si>
  <si>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</si>
  <si>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</si>
  <si>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</si>
  <si>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</si>
  <si>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</si>
  <si>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</si>
  <si>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</si>
  <si>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</si>
  <si>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</si>
  <si>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</si>
  <si>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</si>
  <si>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</si>
  <si>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</si>
  <si>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</si>
  <si>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</si>
  <si>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</si>
  <si>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</si>
  <si>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</si>
  <si>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</si>
  <si>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</si>
  <si>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</si>
  <si>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</si>
  <si>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</si>
  <si>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</si>
  <si>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</si>
  <si>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</si>
  <si>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</si>
  <si>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</si>
  <si>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</si>
  <si>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</si>
  <si>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</si>
  <si>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</si>
  <si>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</si>
  <si>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</si>
  <si>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</si>
  <si>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</si>
  <si>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</si>
  <si>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</si>
  <si>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</si>
  <si>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</si>
  <si>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</si>
  <si>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</si>
  <si>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</si>
  <si>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</si>
  <si>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</si>
  <si>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</si>
  <si>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</si>
  <si>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</si>
  <si>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</si>
  <si>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</si>
  <si>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</si>
  <si>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</si>
  <si>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</si>
  <si>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</si>
  <si>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</si>
  <si>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</si>
  <si>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</si>
  <si>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</si>
  <si>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</si>
  <si>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</si>
  <si>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</si>
  <si>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</si>
  <si>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</si>
  <si>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</si>
  <si>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</si>
  <si>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</si>
  <si>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</si>
  <si>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</si>
  <si>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</si>
  <si>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</si>
  <si>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</si>
  <si>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</si>
  <si>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</si>
  <si>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</si>
  <si>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</si>
  <si>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</si>
  <si>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</si>
  <si>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</si>
  <si>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</si>
  <si>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</si>
  <si>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</si>
  <si>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</si>
  <si>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</si>
  <si>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</si>
  <si>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</si>
  <si>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</si>
  <si>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</si>
  <si>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</si>
  <si>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</si>
  <si>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</si>
  <si>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</si>
  <si>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</si>
  <si>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</si>
  <si>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</si>
  <si>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</si>
  <si>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</si>
  <si>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</si>
  <si>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</si>
  <si>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</si>
  <si>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</si>
  <si>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</si>
  <si>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</si>
  <si>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</si>
  <si>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</si>
  <si>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</si>
  <si>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</si>
  <si>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</si>
  <si>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</si>
  <si>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</si>
  <si>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</si>
  <si>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</si>
  <si>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</si>
  <si>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</si>
  <si>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</si>
  <si>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</si>
  <si>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</si>
  <si>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</si>
  <si>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</si>
  <si>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</si>
  <si>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</si>
  <si>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</si>
  <si>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</si>
  <si>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</si>
  <si>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</si>
  <si>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</si>
  <si>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</si>
  <si>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</si>
  <si>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</si>
  <si>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</si>
  <si>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</si>
  <si>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</si>
  <si>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</si>
  <si>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</si>
  <si>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</si>
  <si>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</si>
  <si>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</si>
  <si>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</si>
  <si>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</si>
  <si>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</si>
  <si>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</si>
  <si>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</si>
  <si>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</si>
  <si>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</si>
  <si>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</si>
  <si>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</si>
  <si>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</si>
  <si>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</si>
  <si>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</si>
  <si>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</si>
  <si>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</si>
  <si>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</si>
  <si>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</si>
  <si>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</si>
  <si>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</si>
  <si>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</si>
  <si>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</si>
  <si>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</si>
  <si>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</si>
  <si>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</si>
  <si>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</si>
  <si>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</si>
  <si>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</si>
  <si>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</si>
  <si>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</si>
  <si>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</si>
  <si>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</si>
  <si>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</si>
  <si>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</si>
  <si>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</si>
  <si>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</si>
  <si>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</si>
  <si>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</si>
  <si>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</si>
  <si>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</si>
  <si>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</si>
  <si>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</si>
  <si>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</si>
  <si>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</si>
  <si>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</si>
  <si>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</si>
  <si>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</si>
  <si>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</si>
  <si>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</si>
  <si>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</si>
  <si>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</si>
  <si>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</si>
  <si>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</si>
  <si>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</si>
  <si>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</si>
  <si>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</si>
  <si>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</si>
  <si>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</si>
  <si>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</si>
  <si>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</si>
  <si>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</si>
  <si>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</si>
  <si>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</si>
  <si>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</si>
  <si>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</si>
  <si>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</si>
  <si>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</si>
  <si>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</si>
  <si>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</si>
  <si>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</si>
  <si>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</si>
  <si>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</si>
  <si>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</si>
  <si>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</si>
  <si>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</si>
  <si>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</si>
  <si>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</si>
  <si>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</si>
  <si>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</si>
  <si>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</si>
  <si>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</si>
  <si>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</si>
  <si>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</si>
  <si>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</si>
  <si>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</si>
  <si>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</si>
  <si>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</si>
  <si>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</si>
  <si>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</si>
  <si>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</si>
  <si>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</si>
  <si>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</si>
  <si>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</si>
  <si>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</si>
  <si>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</si>
  <si>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</si>
  <si>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</si>
  <si>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</si>
  <si>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</si>
  <si>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</si>
  <si>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</si>
  <si>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</si>
  <si>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</si>
  <si>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</si>
  <si>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</si>
  <si>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</si>
  <si>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</si>
  <si>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</si>
  <si>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</si>
  <si>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</si>
  <si>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</si>
  <si>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</si>
  <si>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</si>
  <si>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</si>
  <si>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</si>
  <si>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</si>
  <si>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</si>
  <si>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</si>
  <si>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</si>
  <si>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</si>
  <si>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</si>
  <si>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</si>
  <si>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</si>
  <si>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</si>
  <si>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</si>
  <si>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</si>
  <si>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</si>
  <si>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</si>
  <si>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</si>
  <si>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</si>
  <si>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</si>
  <si>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</si>
  <si>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</si>
  <si>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</si>
  <si>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</si>
  <si>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</si>
  <si>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</si>
  <si>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</si>
  <si>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</si>
  <si>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</si>
  <si>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</si>
  <si>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</si>
  <si>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</si>
  <si>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</si>
  <si>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</si>
  <si>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</si>
  <si>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</si>
  <si>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</si>
  <si>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</si>
  <si>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</si>
  <si>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</si>
  <si>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</si>
  <si>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</si>
  <si>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</si>
  <si>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</si>
  <si>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</si>
  <si>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</si>
  <si>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</si>
  <si>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</si>
  <si>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</si>
  <si>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</si>
  <si>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</si>
  <si>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</si>
  <si>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</si>
  <si>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</si>
  <si>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</si>
  <si>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</si>
  <si>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</si>
  <si>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</si>
  <si>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</si>
  <si>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</si>
  <si>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</si>
  <si>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</si>
  <si>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</si>
  <si>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</si>
  <si>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</si>
  <si>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</si>
  <si>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</si>
  <si>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</si>
  <si>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</si>
  <si>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</si>
  <si>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</si>
  <si>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</si>
  <si>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</si>
  <si>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</si>
  <si>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</si>
  <si>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</si>
  <si>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</si>
  <si>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</si>
  <si>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</si>
  <si>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</si>
  <si>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</si>
  <si>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</si>
  <si>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</si>
  <si>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</si>
  <si>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</si>
  <si>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</si>
  <si>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</si>
  <si>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</si>
  <si>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</si>
  <si>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</si>
  <si>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</si>
  <si>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</si>
  <si>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</si>
  <si>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</si>
  <si>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</si>
  <si>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</si>
  <si>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</si>
  <si>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</si>
  <si>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</si>
  <si>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</si>
  <si>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</si>
  <si>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</si>
  <si>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</si>
  <si>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</si>
  <si>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</si>
  <si>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</si>
  <si>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</si>
  <si>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</si>
  <si>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</si>
  <si>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</si>
  <si>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</si>
  <si>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</si>
  <si>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</si>
  <si>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</si>
  <si>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</si>
  <si>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</si>
  <si>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</si>
  <si>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</si>
  <si>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</si>
  <si>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</si>
  <si>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</si>
  <si>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</si>
  <si>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</si>
  <si>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</si>
  <si>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</si>
  <si>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</si>
  <si>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</si>
  <si>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</si>
  <si>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</si>
  <si>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</si>
  <si>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</si>
  <si>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</si>
  <si>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</si>
  <si>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</si>
  <si>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</si>
  <si>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</si>
  <si>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</si>
  <si>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</si>
  <si>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</si>
  <si>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</si>
  <si>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</si>
  <si>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</si>
  <si>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</si>
  <si>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</si>
  <si>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</si>
  <si>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</si>
  <si>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</si>
  <si>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</si>
  <si>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</si>
  <si>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</si>
  <si>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</si>
  <si>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</si>
  <si>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</si>
  <si>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</si>
  <si>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</si>
  <si>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</si>
  <si>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</si>
  <si>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</si>
  <si>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</si>
  <si>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</si>
  <si>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</si>
  <si>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</si>
  <si>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</si>
  <si>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</si>
  <si>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</si>
  <si>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</si>
  <si>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</si>
  <si>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</si>
  <si>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</si>
  <si>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</si>
  <si>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</si>
  <si>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</si>
  <si>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</si>
  <si>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</si>
  <si>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</si>
  <si>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</si>
  <si>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</si>
  <si>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</si>
  <si>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</si>
  <si>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</si>
  <si>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</si>
  <si>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</si>
  <si>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</si>
  <si>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</si>
  <si>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</si>
  <si>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</si>
  <si>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</si>
  <si>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</si>
  <si>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</si>
  <si>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</si>
  <si>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</si>
  <si>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</si>
  <si>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</si>
  <si>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</si>
  <si>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</si>
  <si>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</si>
  <si>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</si>
  <si>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</si>
  <si>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</si>
  <si>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</si>
  <si>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</si>
  <si>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</si>
  <si>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</si>
  <si>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</si>
  <si>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</si>
  <si>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</si>
  <si>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</si>
  <si>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</si>
  <si>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</si>
  <si>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</si>
  <si>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</si>
  <si>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</si>
  <si>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</si>
  <si>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</si>
  <si>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</si>
  <si>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</si>
  <si>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</si>
  <si>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</si>
  <si>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</si>
  <si>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</si>
  <si>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</si>
  <si>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</si>
  <si>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</si>
  <si>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</si>
  <si>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</si>
  <si>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</si>
  <si>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</si>
  <si>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</si>
  <si>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</si>
  <si>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</si>
  <si>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</si>
  <si>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</si>
  <si>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</si>
  <si>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</si>
  <si>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</si>
  <si>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</si>
  <si>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</si>
  <si>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</si>
  <si>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</si>
  <si>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</si>
  <si>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</si>
  <si>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</si>
  <si>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</si>
  <si>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</si>
  <si>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</si>
  <si>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</si>
  <si>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</si>
  <si>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</si>
  <si>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</si>
  <si>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</si>
  <si>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</si>
  <si>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</si>
  <si>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</si>
  <si>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</si>
  <si>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</si>
  <si>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</si>
  <si>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</si>
  <si>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</si>
  <si>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</si>
  <si>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</si>
  <si>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</si>
  <si>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</si>
  <si>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</si>
  <si>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</si>
  <si>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</si>
  <si>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</si>
  <si>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</si>
  <si>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</si>
  <si>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</si>
  <si>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</si>
  <si>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</si>
  <si>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</si>
  <si>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</si>
  <si>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</si>
  <si>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</si>
  <si>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</si>
  <si>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</si>
  <si>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</si>
  <si>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</si>
  <si>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</si>
  <si>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</si>
  <si>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</si>
  <si>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</si>
  <si>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</si>
  <si>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</si>
  <si>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</si>
  <si>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</si>
  <si>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</si>
  <si>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</si>
  <si>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</si>
  <si>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</si>
  <si>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</si>
  <si>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</si>
  <si>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</si>
  <si>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</si>
  <si>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</si>
  <si>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</si>
  <si>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</si>
  <si>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</si>
  <si>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</si>
  <si>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</si>
  <si>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</si>
  <si>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</si>
  <si>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</si>
  <si>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</si>
  <si>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</si>
  <si>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</si>
  <si>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</si>
  <si>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</si>
  <si>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</si>
  <si>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</si>
  <si>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</si>
  <si>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</si>
  <si>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</si>
  <si>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</si>
  <si>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</si>
  <si>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</si>
  <si>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</si>
  <si>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</si>
  <si>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</si>
  <si>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</si>
  <si>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</si>
  <si>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</si>
  <si>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</si>
  <si>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</si>
  <si>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</si>
  <si>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</si>
  <si>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</si>
  <si>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</si>
  <si>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</si>
  <si>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</si>
  <si>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</si>
  <si>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</si>
  <si>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</si>
  <si>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</si>
  <si>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</si>
  <si>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</si>
  <si>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</si>
  <si>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</si>
  <si>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</si>
  <si>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</si>
  <si>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</si>
  <si>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</si>
  <si>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</si>
  <si>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</si>
  <si>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</si>
  <si>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</si>
  <si>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</si>
  <si>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</si>
  <si>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</si>
  <si>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</si>
  <si>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</si>
  <si>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</si>
  <si>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</si>
  <si>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</si>
  <si>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</si>
  <si>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</si>
  <si>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</si>
  <si>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</si>
  <si>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</si>
  <si>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</si>
  <si>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</si>
  <si>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</si>
  <si>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</si>
  <si>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</si>
  <si>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</si>
  <si>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</si>
  <si>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</si>
  <si>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</si>
  <si>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</si>
  <si>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</si>
  <si>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</si>
  <si>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</si>
  <si>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</si>
  <si>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</si>
  <si>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</si>
  <si>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</si>
  <si>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</si>
  <si>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</si>
  <si>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</si>
  <si>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</si>
  <si>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</si>
  <si>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</si>
  <si>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</si>
  <si>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</si>
  <si>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</si>
  <si>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</si>
  <si>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</si>
  <si>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</si>
  <si>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</si>
  <si>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</si>
  <si>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</si>
  <si>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</si>
  <si>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</si>
  <si>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</si>
  <si>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</si>
  <si>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</si>
  <si>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</si>
  <si>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</si>
  <si>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</si>
  <si>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</si>
  <si>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</si>
  <si>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</si>
  <si>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</si>
  <si>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</si>
  <si>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</si>
  <si>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</si>
  <si>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</si>
  <si>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</si>
  <si>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</si>
  <si>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</si>
  <si>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</si>
  <si>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</si>
  <si>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</si>
  <si>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</si>
  <si>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</si>
  <si>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</si>
  <si>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</si>
  <si>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</si>
  <si>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</si>
  <si>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</si>
  <si>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</si>
  <si>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</si>
  <si>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</si>
  <si>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</si>
  <si>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</si>
  <si>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</si>
  <si>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</si>
  <si>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</si>
  <si>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</si>
  <si>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</si>
  <si>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</si>
  <si>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</si>
  <si>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</si>
  <si>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</si>
  <si>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</si>
  <si>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</si>
  <si>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</si>
  <si>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</si>
  <si>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</si>
  <si>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</si>
  <si>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</si>
  <si>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</si>
  <si>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</si>
  <si>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</si>
  <si>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</si>
  <si>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</si>
  <si>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</si>
  <si>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</si>
  <si>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</si>
  <si>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</si>
  <si>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</si>
  <si>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</si>
  <si>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</si>
  <si>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</si>
  <si>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</si>
  <si>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</si>
  <si>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</si>
  <si>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</si>
  <si>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</si>
  <si>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</si>
  <si>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</si>
  <si>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</si>
  <si>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</si>
  <si>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</si>
  <si>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</si>
  <si>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</si>
  <si>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</si>
  <si>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</si>
  <si>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</si>
  <si>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</si>
  <si>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</si>
  <si>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</si>
  <si>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</si>
  <si>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</si>
  <si>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</si>
  <si>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</si>
  <si>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</si>
  <si>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</si>
  <si>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</si>
  <si>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</si>
  <si>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</si>
  <si>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</si>
  <si>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</si>
  <si>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</si>
  <si>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</si>
  <si>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</si>
  <si>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</si>
  <si>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</si>
  <si>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</si>
  <si>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</si>
  <si>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</si>
  <si>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</si>
  <si>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</si>
  <si>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</si>
  <si>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</si>
  <si>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</si>
  <si>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</si>
  <si>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</si>
  <si>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</si>
  <si>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</si>
  <si>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</si>
  <si>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</si>
  <si>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</si>
  <si>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</si>
  <si>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</si>
  <si>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</si>
  <si>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</si>
  <si>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</si>
  <si>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</si>
  <si>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</si>
  <si>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</si>
  <si>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</si>
  <si>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</si>
  <si>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</si>
  <si>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</si>
  <si>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</si>
  <si>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</si>
  <si>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</si>
  <si>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</si>
  <si>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</si>
  <si>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</si>
  <si>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</si>
  <si>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</si>
  <si>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</si>
  <si>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</si>
  <si>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</si>
  <si>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</si>
  <si>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</si>
  <si>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</si>
  <si>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</si>
  <si>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</si>
  <si>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</si>
  <si>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</si>
  <si>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</si>
  <si>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</si>
  <si>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</si>
  <si>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</si>
  <si>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</si>
  <si>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</si>
  <si>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</si>
  <si>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</si>
  <si>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</si>
  <si>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</si>
  <si>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</si>
  <si>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</si>
  <si>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</si>
  <si>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</si>
  <si>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</si>
  <si>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</si>
  <si>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</si>
  <si>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</si>
  <si>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</si>
  <si>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</si>
  <si>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</si>
  <si>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</si>
  <si>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</si>
  <si>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</si>
  <si>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</si>
  <si>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</si>
  <si>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</si>
  <si>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</si>
  <si>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</si>
  <si>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</si>
  <si>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</si>
  <si>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</si>
  <si>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</si>
  <si>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</si>
  <si>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</si>
  <si>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</si>
  <si>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</si>
  <si>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</si>
  <si>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</si>
  <si>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</si>
  <si>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</si>
  <si>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</si>
  <si>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</si>
  <si>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</si>
  <si>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</si>
  <si>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</si>
  <si>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</si>
  <si>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</si>
  <si>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</si>
  <si>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</si>
  <si>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</si>
  <si>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</si>
  <si>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</si>
  <si>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</si>
  <si>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</si>
  <si>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</si>
  <si>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</si>
  <si>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</si>
  <si>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</si>
  <si>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</si>
  <si>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</si>
  <si>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</si>
  <si>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</si>
  <si>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</si>
  <si>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</si>
  <si>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</si>
  <si>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</si>
  <si>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</si>
  <si>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</si>
  <si>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</si>
  <si>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</si>
  <si>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</si>
  <si>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</si>
  <si>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</si>
  <si>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</si>
  <si>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</si>
  <si>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</si>
  <si>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</si>
  <si>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</si>
  <si>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</si>
  <si>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</si>
  <si>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</si>
  <si>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</si>
  <si>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</si>
  <si>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</si>
  <si>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</si>
  <si>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</si>
  <si>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</si>
  <si>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</si>
  <si>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</si>
  <si>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</si>
  <si>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</si>
  <si>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</si>
  <si>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</si>
  <si>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</si>
  <si>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</si>
  <si>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</si>
  <si>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</si>
  <si>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</si>
  <si>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</si>
  <si>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</si>
  <si>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</si>
  <si>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</si>
  <si>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</si>
  <si>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</si>
  <si>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</si>
  <si>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</si>
  <si>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</si>
  <si>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</si>
  <si>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</si>
  <si>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</si>
  <si>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</si>
  <si>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</si>
  <si>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</si>
  <si>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</si>
  <si>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</si>
  <si>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</si>
  <si>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</si>
  <si>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</si>
  <si>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</si>
  <si>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</si>
  <si>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</si>
  <si>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</si>
  <si>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</si>
  <si>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</si>
  <si>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</si>
  <si>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</si>
  <si>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</si>
  <si>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</si>
  <si>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</si>
  <si>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</si>
  <si>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</si>
  <si>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</si>
  <si>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</si>
  <si>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</si>
  <si>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</si>
  <si>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</si>
  <si>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</si>
  <si>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</si>
  <si>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</si>
  <si>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</si>
  <si>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</si>
  <si>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</si>
  <si>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</si>
  <si>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</si>
  <si>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</si>
  <si>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</si>
  <si>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</si>
  <si>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</si>
  <si>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</si>
  <si>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</si>
  <si>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</si>
  <si>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</si>
  <si>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</si>
  <si>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</si>
  <si>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</si>
  <si>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</si>
  <si>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</si>
  <si>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</si>
  <si>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</si>
  <si>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</si>
  <si>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</si>
  <si>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</si>
  <si>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</si>
  <si>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</si>
  <si>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</si>
  <si>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</si>
  <si>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</si>
  <si>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</si>
  <si>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</si>
  <si>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</si>
  <si>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</si>
  <si>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</si>
  <si>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</si>
  <si>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</si>
  <si>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</si>
  <si>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</si>
  <si>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</si>
  <si>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</si>
  <si>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</si>
  <si>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</si>
  <si>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</si>
  <si>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</si>
  <si>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</si>
  <si>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</si>
  <si>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</si>
  <si>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</si>
  <si>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</si>
  <si>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</si>
  <si>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</si>
  <si>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</si>
  <si>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</si>
  <si>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</si>
  <si>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</si>
  <si>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</si>
  <si>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</si>
  <si>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</si>
  <si>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</si>
  <si>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</si>
  <si>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</si>
  <si>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</si>
  <si>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</si>
  <si>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</si>
  <si>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</si>
  <si>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</si>
  <si>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</si>
  <si>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</si>
  <si>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</si>
  <si>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</si>
  <si>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</si>
  <si>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</si>
  <si>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</si>
  <si>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</si>
  <si>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</si>
  <si>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</si>
  <si>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</si>
  <si>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</si>
  <si>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</si>
  <si>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</si>
  <si>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</si>
  <si>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</si>
  <si>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</si>
  <si>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</si>
  <si>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</si>
  <si>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</si>
  <si>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</si>
  <si>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</si>
  <si>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</si>
  <si>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</si>
  <si>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</si>
  <si>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</si>
  <si>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</si>
  <si>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</si>
  <si>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</si>
  <si>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</si>
  <si>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</si>
  <si>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</si>
  <si>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</si>
  <si>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</si>
  <si>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</si>
  <si>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</si>
  <si>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</si>
  <si>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</si>
  <si>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</si>
  <si>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</si>
  <si>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</si>
  <si>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</si>
  <si>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</si>
  <si>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</si>
  <si>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</si>
  <si>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</si>
  <si>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</si>
  <si>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</si>
  <si>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</si>
  <si>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</si>
  <si>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</si>
  <si>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</si>
  <si>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</si>
  <si>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</si>
  <si>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</si>
  <si>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</si>
  <si>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</si>
  <si>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</si>
  <si>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</si>
  <si>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</si>
  <si>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</si>
  <si>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</si>
  <si>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</si>
  <si>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</si>
  <si>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</si>
  <si>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</si>
  <si>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</si>
  <si>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</si>
  <si>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</si>
  <si>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</si>
  <si>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</si>
  <si>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</si>
  <si>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</si>
  <si>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</si>
  <si>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</si>
  <si>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</si>
  <si>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</si>
  <si>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</si>
  <si>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</si>
  <si>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</si>
  <si>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</si>
  <si>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</si>
  <si>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</si>
  <si>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</si>
  <si>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</si>
  <si>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</si>
  <si>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</si>
  <si>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</si>
  <si>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</si>
  <si>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</si>
  <si>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</si>
  <si>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</si>
  <si>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</si>
  <si>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</si>
  <si>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</si>
  <si>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</si>
  <si>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</si>
  <si>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</si>
  <si>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</si>
  <si>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</si>
  <si>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</si>
  <si>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</si>
  <si>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</si>
  <si>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</si>
  <si>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</si>
  <si>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</si>
  <si>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</si>
  <si>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</si>
  <si>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</si>
  <si>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</si>
  <si>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</si>
  <si>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</si>
  <si>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</si>
  <si>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</si>
  <si>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</si>
  <si>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</si>
  <si>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</si>
  <si>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</si>
  <si>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</si>
  <si>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</si>
  <si>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</si>
  <si>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</si>
  <si>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</si>
  <si>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</si>
  <si>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</si>
  <si>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</si>
  <si>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</si>
  <si>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</si>
  <si>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</si>
  <si>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</si>
  <si>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</si>
  <si>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</si>
  <si>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</si>
  <si>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</si>
  <si>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</si>
  <si>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</si>
  <si>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</si>
  <si>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</si>
  <si>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</si>
  <si>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</si>
  <si>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</si>
  <si>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</si>
  <si>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</si>
  <si>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</si>
  <si>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</si>
  <si>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</si>
  <si>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</si>
  <si>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</si>
  <si>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</si>
  <si>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</si>
  <si>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</si>
  <si>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</si>
  <si>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</si>
  <si>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</si>
  <si>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</si>
  <si>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</si>
  <si>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</si>
  <si>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</si>
  <si>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</si>
  <si>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</si>
  <si>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</si>
  <si>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</si>
  <si>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</si>
  <si>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</si>
  <si>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</si>
  <si>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</si>
  <si>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</si>
  <si>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</si>
  <si>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</si>
  <si>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</si>
  <si>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</si>
  <si>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</si>
  <si>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</si>
  <si>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</si>
  <si>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</si>
  <si>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</si>
  <si>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</si>
  <si>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</si>
  <si>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</si>
  <si>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</si>
  <si>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</si>
  <si>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</si>
  <si>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</si>
  <si>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</si>
  <si>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</si>
  <si>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</si>
  <si>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</si>
  <si>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</si>
  <si>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</si>
  <si>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</si>
  <si>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</si>
  <si>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</si>
  <si>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</si>
  <si>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</si>
  <si>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</si>
  <si>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</si>
  <si>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</si>
  <si>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</si>
  <si>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</si>
  <si>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</si>
  <si>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</si>
  <si>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</si>
  <si>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</si>
  <si>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</si>
  <si>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</si>
  <si>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</si>
  <si>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</si>
  <si>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</si>
  <si>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</si>
  <si>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</si>
  <si>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</si>
  <si>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</si>
  <si>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</si>
  <si>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</si>
  <si>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</si>
  <si>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</si>
  <si>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</si>
  <si>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</si>
  <si>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</si>
  <si>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</si>
  <si>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</si>
  <si>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</si>
  <si>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</si>
  <si>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</si>
  <si>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</si>
  <si>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</si>
  <si>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</si>
  <si>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</si>
  <si>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</si>
  <si>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</si>
  <si>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</si>
  <si>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</si>
  <si>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</si>
  <si>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</si>
  <si>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</si>
  <si>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</si>
  <si>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</si>
  <si>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</si>
  <si>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</si>
  <si>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</si>
  <si>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</si>
  <si>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</si>
  <si>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</si>
  <si>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</si>
  <si>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</si>
  <si>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</si>
  <si>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</si>
  <si>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</si>
  <si>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</si>
  <si>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</si>
  <si>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</si>
  <si>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</si>
  <si>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</si>
  <si>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</si>
  <si>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</si>
  <si>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</si>
  <si>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</si>
  <si>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</si>
  <si>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</si>
  <si>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</si>
  <si>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</si>
  <si>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</si>
  <si>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</si>
  <si>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</si>
  <si>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</si>
  <si>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</si>
  <si>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</si>
  <si>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</si>
  <si>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</si>
  <si>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</si>
  <si>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</si>
  <si>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</si>
  <si>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</si>
  <si>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</si>
  <si>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</si>
  <si>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</si>
  <si>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</si>
  <si>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</si>
  <si>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</si>
  <si>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</si>
  <si>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</si>
  <si>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</si>
  <si>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</si>
  <si>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</si>
  <si>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</si>
  <si>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</si>
  <si>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</si>
  <si>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</si>
  <si>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</si>
  <si>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</si>
  <si>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</si>
  <si>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</si>
  <si>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</si>
  <si>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</si>
  <si>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</si>
  <si>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</si>
  <si>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</si>
  <si>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</si>
  <si>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</si>
  <si>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</si>
  <si>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</si>
  <si>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</si>
  <si>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</si>
  <si>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</si>
  <si>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</si>
  <si>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</si>
  <si>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</si>
  <si>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</si>
  <si>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</si>
  <si>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</si>
  <si>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</si>
  <si>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</si>
  <si>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</si>
  <si>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</si>
  <si>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</si>
  <si>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</si>
  <si>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</si>
  <si>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</si>
  <si>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</si>
  <si>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</si>
  <si>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</si>
  <si>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</si>
  <si>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</si>
  <si>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</si>
  <si>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</si>
  <si>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</si>
  <si>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</si>
  <si>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</si>
  <si>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</si>
  <si>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</si>
  <si>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</si>
  <si>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</si>
  <si>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</si>
  <si>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</si>
  <si>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</si>
  <si>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</si>
  <si>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</si>
  <si>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</si>
  <si>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</si>
  <si>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</si>
  <si>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</si>
  <si>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</si>
  <si>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</si>
  <si>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</si>
  <si>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</si>
  <si>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</si>
  <si>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</si>
  <si>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</si>
  <si>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</si>
  <si>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</si>
  <si>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</si>
  <si>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</si>
  <si>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</si>
  <si>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</si>
  <si>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</si>
  <si>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</si>
  <si>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</si>
  <si>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</si>
  <si>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</si>
  <si>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</si>
  <si>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</si>
  <si>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</si>
  <si>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</si>
  <si>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</si>
  <si>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</si>
  <si>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</si>
  <si>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</si>
  <si>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</si>
  <si>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</si>
  <si>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</si>
  <si>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</si>
  <si>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</si>
  <si>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</si>
  <si>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</si>
  <si>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</si>
  <si>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</si>
  <si>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</si>
  <si>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</si>
  <si>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</si>
  <si>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</si>
  <si>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</si>
  <si>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</si>
  <si>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</si>
  <si>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</si>
  <si>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</si>
  <si>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</si>
  <si>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</si>
  <si>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</si>
  <si>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</si>
  <si>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</si>
  <si>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</si>
  <si>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</si>
  <si>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</si>
  <si>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</si>
  <si>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</si>
  <si>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</si>
  <si>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</si>
  <si>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</si>
  <si>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</si>
  <si>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</si>
  <si>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</si>
  <si>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</si>
  <si>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</si>
  <si>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</si>
  <si>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</si>
  <si>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</si>
  <si>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</si>
  <si>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</si>
  <si>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</si>
  <si>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</si>
  <si>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</si>
  <si>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</si>
  <si>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</si>
  <si>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</si>
  <si>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</si>
  <si>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</si>
  <si>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</si>
  <si>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</si>
  <si>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</si>
  <si>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</si>
  <si>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</si>
  <si>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</si>
  <si>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</si>
  <si>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</si>
  <si>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</si>
  <si>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</si>
  <si>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</si>
  <si>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</si>
  <si>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</si>
  <si>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</si>
  <si>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</si>
  <si>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</si>
  <si>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</si>
  <si>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</si>
  <si>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</si>
  <si>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</si>
  <si>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</si>
  <si>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</si>
  <si>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</si>
  <si>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</si>
  <si>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</si>
  <si>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</si>
  <si>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</si>
  <si>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</si>
  <si>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</si>
  <si>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</si>
  <si>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</si>
  <si>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</si>
  <si>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</si>
  <si>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</si>
  <si>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</si>
  <si>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</si>
  <si>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</si>
  <si>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</si>
  <si>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</si>
  <si>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</si>
  <si>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</si>
  <si>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</si>
  <si>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</si>
  <si>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</si>
  <si>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</si>
  <si>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</si>
  <si>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</si>
  <si>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</si>
  <si>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</si>
  <si>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</si>
  <si>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</si>
  <si>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</si>
  <si>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</si>
  <si>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</si>
  <si>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</si>
  <si>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</si>
  <si>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</si>
  <si>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</si>
  <si>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</si>
  <si>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</si>
  <si>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</si>
  <si>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</si>
  <si>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</si>
  <si>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</si>
  <si>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</si>
  <si>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</si>
  <si>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</si>
  <si>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</si>
  <si>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</si>
  <si>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</si>
  <si>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</si>
  <si>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</si>
  <si>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</si>
  <si>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</si>
  <si>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</si>
  <si>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</si>
  <si>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</si>
  <si>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</si>
  <si>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</si>
  <si>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</si>
  <si>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</si>
  <si>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</si>
  <si>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</si>
  <si>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</si>
  <si>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</si>
  <si>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</si>
  <si>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</si>
  <si>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</si>
  <si>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</si>
  <si>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</si>
  <si>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</si>
  <si>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</si>
  <si>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</si>
  <si>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</si>
  <si>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</si>
  <si>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</si>
  <si>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</si>
  <si>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</si>
  <si>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</si>
  <si>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</si>
  <si>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</si>
  <si>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</si>
  <si>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</si>
  <si>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</si>
  <si>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</si>
  <si>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</si>
  <si>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</si>
  <si>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</si>
  <si>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</si>
  <si>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</si>
  <si>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</si>
  <si>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</si>
  <si>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</si>
  <si>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</si>
  <si>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</si>
  <si>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</si>
  <si>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</si>
  <si>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</si>
  <si>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</si>
  <si>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</si>
  <si>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</si>
  <si>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</si>
  <si>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</si>
  <si>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</si>
  <si>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</si>
  <si>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</si>
  <si>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</si>
  <si>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</si>
  <si>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</si>
  <si>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</si>
  <si>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</si>
  <si>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</si>
  <si>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</si>
  <si>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</si>
  <si>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</si>
  <si>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</si>
  <si>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</si>
  <si>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</si>
  <si>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</si>
  <si>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</si>
  <si>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</si>
  <si>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</si>
  <si>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</si>
  <si>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</si>
  <si>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</si>
  <si>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</si>
  <si>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</si>
  <si>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</si>
  <si>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</si>
  <si>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</si>
  <si>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</si>
  <si>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</si>
  <si>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</si>
  <si>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</si>
  <si>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</si>
  <si>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</si>
  <si>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</si>
  <si>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</si>
  <si>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</si>
  <si>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</si>
  <si>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</si>
  <si>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</si>
  <si>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</si>
  <si>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</si>
  <si>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</si>
  <si>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</si>
  <si>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</si>
  <si>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</si>
  <si>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</si>
  <si>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</si>
  <si>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</si>
  <si>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</si>
  <si>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</si>
  <si>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</si>
  <si>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</si>
  <si>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</si>
  <si>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</si>
  <si>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</si>
  <si>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</si>
  <si>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</si>
  <si>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</si>
  <si>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</si>
  <si>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</si>
  <si>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</si>
  <si>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</si>
  <si>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</si>
  <si>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</si>
  <si>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</si>
  <si>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</si>
  <si>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</si>
  <si>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</si>
  <si>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</si>
  <si>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</si>
  <si>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</si>
  <si>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</si>
  <si>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</si>
  <si>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</si>
  <si>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</si>
  <si>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</si>
  <si>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</si>
  <si>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</si>
  <si>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</si>
  <si>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</si>
  <si>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</si>
  <si>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</si>
  <si>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</si>
  <si>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</si>
  <si>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</si>
  <si>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</si>
  <si>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</si>
  <si>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</si>
  <si>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</si>
  <si>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</si>
  <si>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</si>
  <si>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</si>
  <si>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</si>
  <si>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</si>
  <si>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</si>
  <si>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</si>
  <si>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</si>
  <si>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</si>
  <si>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</si>
  <si>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</si>
  <si>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</si>
  <si>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</si>
  <si>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</si>
  <si>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</si>
  <si>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</si>
  <si>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</si>
  <si>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</si>
  <si>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</si>
  <si>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</si>
  <si>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</si>
  <si>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</si>
  <si>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</si>
  <si>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</si>
  <si>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</si>
  <si>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</si>
  <si>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</si>
  <si>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</si>
  <si>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</si>
  <si>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</si>
  <si>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</si>
  <si>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</si>
  <si>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</si>
  <si>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</si>
  <si>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</si>
  <si>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</si>
  <si>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</si>
  <si>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</si>
  <si>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</si>
  <si>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</si>
  <si>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</si>
  <si>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</si>
  <si>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</si>
  <si>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</si>
  <si>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</si>
  <si>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</si>
  <si>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</si>
  <si>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</si>
  <si>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</si>
  <si>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</si>
  <si>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</si>
  <si>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</si>
  <si>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</si>
  <si>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</si>
  <si>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</si>
  <si>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</si>
  <si>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</si>
  <si>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</si>
  <si>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</si>
  <si>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</si>
  <si>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</si>
  <si>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</si>
  <si>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</si>
  <si>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</si>
  <si>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</si>
  <si>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</si>
  <si>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</si>
  <si>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</si>
  <si>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</si>
  <si>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</si>
  <si>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</si>
  <si>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</si>
  <si>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</si>
  <si>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</si>
  <si>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</si>
  <si>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</si>
  <si>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</si>
  <si>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</si>
  <si>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</si>
  <si>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</si>
  <si>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</si>
  <si>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</si>
  <si>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</si>
  <si>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</si>
  <si>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</si>
  <si>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</si>
  <si>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</si>
  <si>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</si>
  <si>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</si>
  <si>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</si>
  <si>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</si>
  <si>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</si>
  <si>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</si>
  <si>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</si>
  <si>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</si>
  <si>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</si>
  <si>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</si>
  <si>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</si>
  <si>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</si>
  <si>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</si>
  <si>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</si>
  <si>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</si>
  <si>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</si>
  <si>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</si>
  <si>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</si>
  <si>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</si>
  <si>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</si>
  <si>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</si>
  <si>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</si>
  <si>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</si>
  <si>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</si>
  <si>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</si>
  <si>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</si>
  <si>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</si>
  <si>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</si>
  <si>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</si>
  <si>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</si>
  <si>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</si>
  <si>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</si>
  <si>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</si>
  <si>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</si>
  <si>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</si>
  <si>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</si>
  <si>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</si>
  <si>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</si>
  <si>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</si>
  <si>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</si>
  <si>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</si>
  <si>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</si>
  <si>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</si>
  <si>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</si>
  <si>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</si>
  <si>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</si>
  <si>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</si>
  <si>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</si>
  <si>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</si>
  <si>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</si>
  <si>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</si>
  <si>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</si>
  <si>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</si>
  <si>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</si>
  <si>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</si>
  <si>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</si>
  <si>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</si>
  <si>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</si>
  <si>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</si>
  <si>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</si>
  <si>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</si>
  <si>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</si>
  <si>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</si>
  <si>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</si>
  <si>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</si>
  <si>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</si>
  <si>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</si>
  <si>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</si>
  <si>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</si>
  <si>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</si>
  <si>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</si>
  <si>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</si>
  <si>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</si>
  <si>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</si>
  <si>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</si>
  <si>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</si>
  <si>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</si>
  <si>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</si>
  <si>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</si>
  <si>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</si>
  <si>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</si>
  <si>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</si>
  <si>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</si>
  <si>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</si>
  <si>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</si>
  <si>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</si>
  <si>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</si>
  <si>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</si>
  <si>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</si>
  <si>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</si>
  <si>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</si>
  <si>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</si>
  <si>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</si>
  <si>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</si>
  <si>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</si>
  <si>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</si>
  <si>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</si>
  <si>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</si>
  <si>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</si>
  <si>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</si>
  <si>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</si>
  <si>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</si>
  <si>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</si>
  <si>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</si>
  <si>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</si>
  <si>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</si>
  <si>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</si>
  <si>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</si>
  <si>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</si>
  <si>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</si>
  <si>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</si>
  <si>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</si>
  <si>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</si>
  <si>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</si>
  <si>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</si>
  <si>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</si>
  <si>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</si>
  <si>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</si>
  <si>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</si>
  <si>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</si>
  <si>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</si>
  <si>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</si>
  <si>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</si>
  <si>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</si>
  <si>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</si>
  <si>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</si>
  <si>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</si>
  <si>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</si>
  <si>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</si>
  <si>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</si>
  <si>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</si>
  <si>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</si>
  <si>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</si>
  <si>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</si>
  <si>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</si>
  <si>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</si>
  <si>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</si>
  <si>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</si>
  <si>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</si>
  <si>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</si>
  <si>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</si>
  <si>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</si>
  <si>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</si>
  <si>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</si>
  <si>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</si>
  <si>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</si>
  <si>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</si>
  <si>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</si>
  <si>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</si>
  <si>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</si>
  <si>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</si>
  <si>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</si>
  <si>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</si>
  <si>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</si>
  <si>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</si>
  <si>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</si>
  <si>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</si>
  <si>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</si>
  <si>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</si>
  <si>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</si>
  <si>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</si>
  <si>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</si>
  <si>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</si>
  <si>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</si>
  <si>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</si>
  <si>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</si>
  <si>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</si>
  <si>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</si>
  <si>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</si>
  <si>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</si>
  <si>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</si>
  <si>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</si>
  <si>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</si>
  <si>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</si>
  <si>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</si>
  <si>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</si>
  <si>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</si>
  <si>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</si>
  <si>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</si>
  <si>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</si>
  <si>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</si>
  <si>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</si>
  <si>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</si>
  <si>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</si>
  <si>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</si>
  <si>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</si>
  <si>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</si>
  <si>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</si>
  <si>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</si>
  <si>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</si>
  <si>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</si>
  <si>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</si>
  <si>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</si>
  <si>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</si>
  <si>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</si>
  <si>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</si>
  <si>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</si>
  <si>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</si>
  <si>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</si>
  <si>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</si>
  <si>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</si>
  <si>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</si>
  <si>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</si>
  <si>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</si>
  <si>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</si>
  <si>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</si>
  <si>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</si>
  <si>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</si>
  <si>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</si>
  <si>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</si>
  <si>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</si>
  <si>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</si>
  <si>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</si>
  <si>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</si>
  <si>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</si>
  <si>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</si>
  <si>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</si>
  <si>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</si>
  <si>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</si>
  <si>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</si>
  <si>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</si>
  <si>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</si>
  <si>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</si>
  <si>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</si>
  <si>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</si>
  <si>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</si>
  <si>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</si>
  <si>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</si>
  <si>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</si>
  <si>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</si>
  <si>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</si>
  <si>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</si>
  <si>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</si>
  <si>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</si>
  <si>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</si>
  <si>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</si>
  <si>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</si>
  <si>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</si>
  <si>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</si>
  <si>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</si>
  <si>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</si>
  <si>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</si>
  <si>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</si>
  <si>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</si>
  <si>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</si>
  <si>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</si>
  <si>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</si>
  <si>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</si>
  <si>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</si>
  <si>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</si>
  <si>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</si>
  <si>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</si>
  <si>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</si>
  <si>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</si>
  <si>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</si>
  <si>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</si>
  <si>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</si>
  <si>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</si>
  <si>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</si>
  <si>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</si>
  <si>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</si>
  <si>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</si>
  <si>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</si>
  <si>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</si>
  <si>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</si>
  <si>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</si>
  <si>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</si>
  <si>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</si>
  <si>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</si>
  <si>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</si>
  <si>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</si>
  <si>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</si>
  <si>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</si>
  <si>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</si>
  <si>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</si>
  <si>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</si>
  <si>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</si>
  <si>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</si>
  <si>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</si>
  <si>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</si>
  <si>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</si>
  <si>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</si>
  <si>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</si>
  <si>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</si>
  <si>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</si>
  <si>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</si>
  <si>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</si>
  <si>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</si>
  <si>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</si>
  <si>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</si>
  <si>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</si>
  <si>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</si>
  <si>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</si>
  <si>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</si>
  <si>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</si>
  <si>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</si>
  <si>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</si>
  <si>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</si>
  <si>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</si>
  <si>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</si>
  <si>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</si>
  <si>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</si>
  <si>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</si>
  <si>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</si>
  <si>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</si>
  <si>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</si>
  <si>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</si>
  <si>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</si>
  <si>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</si>
  <si>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</si>
  <si>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</si>
  <si>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</si>
  <si>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</si>
  <si>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</si>
  <si>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</si>
  <si>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</si>
  <si>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</si>
  <si>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</si>
  <si>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</si>
  <si>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</si>
  <si>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</si>
  <si>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</si>
  <si>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</si>
  <si>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</si>
  <si>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</si>
  <si>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</si>
  <si>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</si>
  <si>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</si>
  <si>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</si>
  <si>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</si>
  <si>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</si>
  <si>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</si>
  <si>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</si>
  <si>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</si>
  <si>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</si>
  <si>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</si>
  <si>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</si>
  <si>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</si>
  <si>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</si>
  <si>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</si>
  <si>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</si>
  <si>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</si>
  <si>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</si>
  <si>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</si>
  <si>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</si>
  <si>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</si>
  <si>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</si>
  <si>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</si>
  <si>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</si>
  <si>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</si>
  <si>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</si>
  <si>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</si>
  <si>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</si>
  <si>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</si>
  <si>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</si>
  <si>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</si>
  <si>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</si>
  <si>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</si>
  <si>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</si>
  <si>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</si>
  <si>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</si>
  <si>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</si>
  <si>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</si>
  <si>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</si>
  <si>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</si>
  <si>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</si>
  <si>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</si>
  <si>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</si>
  <si>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</si>
  <si>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</si>
  <si>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</si>
  <si>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</si>
  <si>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</si>
  <si>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</si>
  <si>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</si>
  <si>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</si>
  <si>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</si>
  <si>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</si>
  <si>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</si>
  <si>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</si>
  <si>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</si>
  <si>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</si>
  <si>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</si>
  <si>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</si>
  <si>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</si>
  <si>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</si>
  <si>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</si>
  <si>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</si>
  <si>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</si>
  <si>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</si>
  <si>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</si>
  <si>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</si>
  <si>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</si>
  <si>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</si>
  <si>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</si>
  <si>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</si>
  <si>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</si>
  <si>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</si>
  <si>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</si>
  <si>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</si>
  <si>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</si>
  <si>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</si>
  <si>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</si>
  <si>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</si>
  <si>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</si>
  <si>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</si>
  <si>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</si>
  <si>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</si>
  <si>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</si>
  <si>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</si>
  <si>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</si>
  <si>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</si>
  <si>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</si>
  <si>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</si>
  <si>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</si>
  <si>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</si>
  <si>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</si>
  <si>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</si>
  <si>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</si>
  <si>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</si>
  <si>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</si>
  <si>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</si>
  <si>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</si>
  <si>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</si>
  <si>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</si>
  <si>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</si>
  <si>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</si>
  <si>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</si>
  <si>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</si>
  <si>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</si>
  <si>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</si>
  <si>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</si>
  <si>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</si>
  <si>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</si>
  <si>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</si>
  <si>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</si>
  <si>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</si>
  <si>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</si>
  <si>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</si>
  <si>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</si>
  <si>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</si>
  <si>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</si>
  <si>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</si>
  <si>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</si>
  <si>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</si>
  <si>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</si>
  <si>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</si>
  <si>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</si>
  <si>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</si>
  <si>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</si>
  <si>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</si>
  <si>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</si>
  <si>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</si>
  <si>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</si>
  <si>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</si>
  <si>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</si>
  <si>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</si>
  <si>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</si>
  <si>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</si>
  <si>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</si>
  <si>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</si>
  <si>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</si>
  <si>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</si>
  <si>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</si>
  <si>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</si>
  <si>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</si>
  <si>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</si>
  <si>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</si>
  <si>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</si>
  <si>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</si>
  <si>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</si>
  <si>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</si>
  <si>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</si>
  <si>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</si>
  <si>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</si>
  <si>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</si>
  <si>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</si>
  <si>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</si>
  <si>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</si>
  <si>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</si>
  <si>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</si>
  <si>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</si>
  <si>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</si>
  <si>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</si>
  <si>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</si>
  <si>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</si>
  <si>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</si>
  <si>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</si>
  <si>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</si>
  <si>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</si>
  <si>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</si>
  <si>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</si>
  <si>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</si>
  <si>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</si>
  <si>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</si>
  <si>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</si>
  <si>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</si>
  <si>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</si>
  <si>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</si>
  <si>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</si>
  <si>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</si>
  <si>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</si>
  <si>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</si>
  <si>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</si>
  <si>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</si>
  <si>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</si>
  <si>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</si>
  <si>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</si>
  <si>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</si>
  <si>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</si>
  <si>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</si>
  <si>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</si>
  <si>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</si>
  <si>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</si>
  <si>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</si>
  <si>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</si>
  <si>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</si>
  <si>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</si>
  <si>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</si>
  <si>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</si>
  <si>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</si>
  <si>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</si>
  <si>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</si>
  <si>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</si>
  <si>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</si>
  <si>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</si>
  <si>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</si>
  <si>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</si>
  <si>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</si>
  <si>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</si>
  <si>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</si>
  <si>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</si>
  <si>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</si>
  <si>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</si>
  <si>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</si>
  <si>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</si>
  <si>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</si>
  <si>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</si>
  <si>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</si>
  <si>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</si>
  <si>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</si>
  <si>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</si>
  <si>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</si>
  <si>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</si>
  <si>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</si>
  <si>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</si>
  <si>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</si>
  <si>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</si>
  <si>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</si>
  <si>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</si>
  <si>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</si>
  <si>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</si>
  <si>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</si>
  <si>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</si>
  <si>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</si>
  <si>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</si>
  <si>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</si>
  <si>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</si>
  <si>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</si>
  <si>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</si>
  <si>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</si>
  <si>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</si>
  <si>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</si>
  <si>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</si>
  <si>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</si>
  <si>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</si>
  <si>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</si>
  <si>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</si>
  <si>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</si>
  <si>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</si>
  <si>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</si>
  <si>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</si>
  <si>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</si>
  <si>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</si>
  <si>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</si>
  <si>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</si>
  <si>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</si>
  <si>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</si>
  <si>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</si>
  <si>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</si>
  <si>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</si>
  <si>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</si>
  <si>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</si>
  <si>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</si>
  <si>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</si>
  <si>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</si>
  <si>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</si>
  <si>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</si>
  <si>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</si>
  <si>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</si>
  <si>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</si>
  <si>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</si>
  <si>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</si>
  <si>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</si>
  <si>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</si>
  <si>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</si>
  <si>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</si>
  <si>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</si>
  <si>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</si>
  <si>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</si>
  <si>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</si>
  <si>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</si>
  <si>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</si>
  <si>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</si>
  <si>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</si>
  <si>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</si>
  <si>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</si>
  <si>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</si>
  <si>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</si>
  <si>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</si>
  <si>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</si>
  <si>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</si>
  <si>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</si>
  <si>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</si>
  <si>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</si>
  <si>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</si>
  <si>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</si>
  <si>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</si>
  <si>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</si>
  <si>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</si>
  <si>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</si>
  <si>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</si>
  <si>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</si>
  <si>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</si>
  <si>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</si>
  <si>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</si>
  <si>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</si>
  <si>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</si>
  <si>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</si>
  <si>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</si>
  <si>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</si>
  <si>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</si>
  <si>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</si>
  <si>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</si>
  <si>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</si>
  <si>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</si>
  <si>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</si>
  <si>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</si>
  <si>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</si>
  <si>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</si>
  <si>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</si>
  <si>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</si>
  <si>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</si>
  <si>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</si>
  <si>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</si>
  <si>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</si>
  <si>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</si>
  <si>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</si>
  <si>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</si>
  <si>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</si>
  <si>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</si>
  <si>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</si>
  <si>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</si>
  <si>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</si>
  <si>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</si>
  <si>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</si>
  <si>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</si>
  <si>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</si>
  <si>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</si>
  <si>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</si>
  <si>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</si>
  <si>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</si>
  <si>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</si>
  <si>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</si>
  <si>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</si>
  <si>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</si>
  <si>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</si>
  <si>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</si>
  <si>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</si>
  <si>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</si>
  <si>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</si>
  <si>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</si>
  <si>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</si>
  <si>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</si>
  <si>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</si>
  <si>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</si>
  <si>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</si>
  <si>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</si>
  <si>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</si>
  <si>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</si>
  <si>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</si>
  <si>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</si>
  <si>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</si>
  <si>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</si>
  <si>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</si>
  <si>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</si>
  <si>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</si>
  <si>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</si>
  <si>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</si>
  <si>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</si>
  <si>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</si>
  <si>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</si>
  <si>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</si>
  <si>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</si>
  <si>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</si>
  <si>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</si>
  <si>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</si>
  <si>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</si>
  <si>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</si>
  <si>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</si>
  <si>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</si>
  <si>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</si>
  <si>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</si>
  <si>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</si>
  <si>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</si>
  <si>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</si>
  <si>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</si>
  <si>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</si>
  <si>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</si>
  <si>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</si>
  <si>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</si>
  <si>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</si>
  <si>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</si>
  <si>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</si>
  <si>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</si>
  <si>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</si>
  <si>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</si>
  <si>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</si>
  <si>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</si>
  <si>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</si>
  <si>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</si>
  <si>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</si>
  <si>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</si>
  <si>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</si>
  <si>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</si>
  <si>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</si>
  <si>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</si>
  <si>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</si>
  <si>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</si>
  <si>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</si>
  <si>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</si>
  <si>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</si>
  <si>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</si>
  <si>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</si>
  <si>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</si>
  <si>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</si>
  <si>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</si>
  <si>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</si>
  <si>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</si>
  <si>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</si>
  <si>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</si>
  <si>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</si>
  <si>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</si>
  <si>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</si>
  <si>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</si>
  <si>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</si>
  <si>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</si>
  <si>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</si>
  <si>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</si>
  <si>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</si>
  <si>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</si>
  <si>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</si>
  <si>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</si>
  <si>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</si>
  <si>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</si>
  <si>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</si>
  <si>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</si>
  <si>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</si>
  <si>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</si>
  <si>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</si>
  <si>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</si>
  <si>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</si>
  <si>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</si>
  <si>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</si>
  <si>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</si>
  <si>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</si>
  <si>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</si>
  <si>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</si>
  <si>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</si>
  <si>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</si>
  <si>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</si>
  <si>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</si>
  <si>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</si>
  <si>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</si>
  <si>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</si>
  <si>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</si>
  <si>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</si>
  <si>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</si>
  <si>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</si>
  <si>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</si>
  <si>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</si>
  <si>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</si>
  <si>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</si>
  <si>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</si>
  <si>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</si>
  <si>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</si>
  <si>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</si>
  <si>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</si>
  <si>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</si>
  <si>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</si>
  <si>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</si>
  <si>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</si>
  <si>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</si>
  <si>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</si>
  <si>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</si>
  <si>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</si>
  <si>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</si>
  <si>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</si>
  <si>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</si>
  <si>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</si>
  <si>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</si>
  <si>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</si>
  <si>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</si>
  <si>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</si>
  <si>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</si>
  <si>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</si>
  <si>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</si>
  <si>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</si>
  <si>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</si>
  <si>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</si>
  <si>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</si>
  <si>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</si>
  <si>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</si>
  <si>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</si>
  <si>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</si>
  <si>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</si>
  <si>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</si>
  <si>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</si>
  <si>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</si>
  <si>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</si>
  <si>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</si>
  <si>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</si>
  <si>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</si>
  <si>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</si>
  <si>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</si>
  <si>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</si>
  <si>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</si>
  <si>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</si>
  <si>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</si>
  <si>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</si>
  <si>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</si>
  <si>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</si>
  <si>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</si>
  <si>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</si>
  <si>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</si>
  <si>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</si>
  <si>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</si>
  <si>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</si>
  <si>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</si>
  <si>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</si>
  <si>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</si>
  <si>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</si>
  <si>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</si>
  <si>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</si>
  <si>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</si>
  <si>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</si>
  <si>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</si>
  <si>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</si>
  <si>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</si>
  <si>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</si>
  <si>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</si>
  <si>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</si>
  <si>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</si>
  <si>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</si>
  <si>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</si>
  <si>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</si>
  <si>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</si>
  <si>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</si>
  <si>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</si>
  <si>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</si>
  <si>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</si>
  <si>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</si>
  <si>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</si>
  <si>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</si>
  <si>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</si>
  <si>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</si>
  <si>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</si>
  <si>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</si>
  <si>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</si>
  <si>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</si>
  <si>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</si>
  <si>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</si>
  <si>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</si>
  <si>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</si>
  <si>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</si>
  <si>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</si>
  <si>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</si>
  <si>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</si>
  <si>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</si>
  <si>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</si>
  <si>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</si>
  <si>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</si>
  <si>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</si>
  <si>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</si>
  <si>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</si>
  <si>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</si>
  <si>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</si>
  <si>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</si>
  <si>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</si>
  <si>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</si>
  <si>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</si>
  <si>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</si>
  <si>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</si>
  <si>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</si>
  <si>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</si>
  <si>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</si>
  <si>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</si>
  <si>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</si>
  <si>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</si>
  <si>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</si>
  <si>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</si>
  <si>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</si>
  <si>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</si>
  <si>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</si>
  <si>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</si>
  <si>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</si>
  <si>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</si>
  <si>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</si>
  <si>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</si>
  <si>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</si>
  <si>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</si>
  <si>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</si>
  <si>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</si>
  <si>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</si>
  <si>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</si>
  <si>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</si>
  <si>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</si>
  <si>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</si>
  <si>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</si>
  <si>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</si>
  <si>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</si>
  <si>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</si>
  <si>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</si>
  <si>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</si>
  <si>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</si>
  <si>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</si>
  <si>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</si>
  <si>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</si>
  <si>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</si>
  <si>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</si>
  <si>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</si>
  <si>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</si>
  <si>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</si>
  <si>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</si>
  <si>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</si>
  <si>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</si>
  <si>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</si>
  <si>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</si>
  <si>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</si>
  <si>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</si>
  <si>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</si>
  <si>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</si>
  <si>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</si>
  <si>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</si>
  <si>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</si>
  <si>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</si>
  <si>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</si>
  <si>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</si>
  <si>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</si>
  <si>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</si>
  <si>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</si>
  <si>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</si>
  <si>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</si>
  <si>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</si>
  <si>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</si>
  <si>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</si>
  <si>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</si>
  <si>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</si>
  <si>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</si>
  <si>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</si>
  <si>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</si>
  <si>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</si>
  <si>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</si>
  <si>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</si>
  <si>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</si>
  <si>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</si>
  <si>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</si>
  <si>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</si>
  <si>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</si>
  <si>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</si>
  <si>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</si>
  <si>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</si>
  <si>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</si>
  <si>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</si>
  <si>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</si>
  <si>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</si>
  <si>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</si>
  <si>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</si>
  <si>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</si>
  <si>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</si>
  <si>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</si>
  <si>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</si>
  <si>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</si>
  <si>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</si>
  <si>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</si>
  <si>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</si>
  <si>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</si>
  <si>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</si>
  <si>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</si>
  <si>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</si>
  <si>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</si>
  <si>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</si>
  <si>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</si>
  <si>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</si>
  <si>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</si>
  <si>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</si>
  <si>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</si>
  <si>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</si>
  <si>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</si>
  <si>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</si>
  <si>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</si>
  <si>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</si>
  <si>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</si>
  <si>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</si>
  <si>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</si>
  <si>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</si>
  <si>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</si>
  <si>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</si>
  <si>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</si>
  <si>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</si>
  <si>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</si>
  <si>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</si>
  <si>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</si>
  <si>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</si>
  <si>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</si>
  <si>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</si>
  <si>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</si>
  <si>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</si>
  <si>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</si>
  <si>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</si>
  <si>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</si>
  <si>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</si>
  <si>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</si>
  <si>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</si>
  <si>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</si>
  <si>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</si>
  <si>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</si>
  <si>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</si>
  <si>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</si>
  <si>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</si>
  <si>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</si>
  <si>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</si>
  <si>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</si>
  <si>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</si>
  <si>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</si>
  <si>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</si>
  <si>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</si>
  <si>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</si>
  <si>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</si>
  <si>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</si>
  <si>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</si>
  <si>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</si>
  <si>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</si>
  <si>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</si>
  <si>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</si>
  <si>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</si>
  <si>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</si>
  <si>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</si>
  <si>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</si>
  <si>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</si>
  <si>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</si>
  <si>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</si>
  <si>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</si>
  <si>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</si>
  <si>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</si>
  <si>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</si>
  <si>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</si>
  <si>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</si>
  <si>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</si>
  <si>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</si>
  <si>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</si>
  <si>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</si>
  <si>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</si>
  <si>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</si>
  <si>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</si>
  <si>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</si>
  <si>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</si>
  <si>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</si>
  <si>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</si>
  <si>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</si>
  <si>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</si>
  <si>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</si>
  <si>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</si>
  <si>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</si>
  <si>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</si>
  <si>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</si>
  <si>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</si>
  <si>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</si>
  <si>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</si>
  <si>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</si>
  <si>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</si>
  <si>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</si>
  <si>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</si>
  <si>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</si>
  <si>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</si>
  <si>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</si>
  <si>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</si>
  <si>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</si>
  <si>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</si>
  <si>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</si>
  <si>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</si>
  <si>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</si>
  <si>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</si>
  <si>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</si>
  <si>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</si>
  <si>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</si>
  <si>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</si>
  <si>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</si>
  <si>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</si>
  <si>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</si>
  <si>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</si>
  <si>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</si>
  <si>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</si>
  <si>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</si>
  <si>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</si>
  <si>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</si>
  <si>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</si>
  <si>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</si>
  <si>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</si>
  <si>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</si>
  <si>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</si>
  <si>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</si>
  <si>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</si>
  <si>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</si>
  <si>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</si>
  <si>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</si>
  <si>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</si>
  <si>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</si>
  <si>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</si>
  <si>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</si>
  <si>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</si>
  <si>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</si>
  <si>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</si>
  <si>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</si>
  <si>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</si>
  <si>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</si>
  <si>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</si>
  <si>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</si>
  <si>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</si>
  <si>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</si>
  <si>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</si>
  <si>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</si>
  <si>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</si>
  <si>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</si>
  <si>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</si>
  <si>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</si>
  <si>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</si>
  <si>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</si>
  <si>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</si>
  <si>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</si>
  <si>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</si>
  <si>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</si>
  <si>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</si>
  <si>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</si>
  <si>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</si>
  <si>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</si>
  <si>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</si>
  <si>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</si>
  <si>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</si>
  <si>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</si>
  <si>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</si>
  <si>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</si>
  <si>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</si>
  <si>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</si>
  <si>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</si>
  <si>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</si>
  <si>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</si>
  <si>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</si>
  <si>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</si>
  <si>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</si>
  <si>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</si>
  <si>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</si>
  <si>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</si>
  <si>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</si>
  <si>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</si>
  <si>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</si>
  <si>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</si>
  <si>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</si>
  <si>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</si>
  <si>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</si>
  <si>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</si>
  <si>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</si>
  <si>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</si>
  <si>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</si>
  <si>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</si>
  <si>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</si>
  <si>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</si>
  <si>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</si>
  <si>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</si>
  <si>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</si>
  <si>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</si>
  <si>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</si>
  <si>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</si>
  <si>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</si>
  <si>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</si>
  <si>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</si>
  <si>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</si>
  <si>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</si>
  <si>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</si>
  <si>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</si>
  <si>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</si>
  <si>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</si>
  <si>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</si>
  <si>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</si>
  <si>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</si>
  <si>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</si>
  <si>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</si>
  <si>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</si>
  <si>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</si>
  <si>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</si>
  <si>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</si>
  <si>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</si>
  <si>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</si>
  <si>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</si>
  <si>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</si>
  <si>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</si>
  <si>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</si>
  <si>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</si>
  <si>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</si>
  <si>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</si>
  <si>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</si>
  <si>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</si>
  <si>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</si>
  <si>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</si>
  <si>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</si>
  <si>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</si>
  <si>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</si>
  <si>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</si>
  <si>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</si>
  <si>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</si>
  <si>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</si>
  <si>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</si>
  <si>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</si>
  <si>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</si>
  <si>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</si>
  <si>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</si>
  <si>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</si>
  <si>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</si>
  <si>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</si>
  <si>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</si>
  <si>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</si>
  <si>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</si>
  <si>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</si>
  <si>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</si>
  <si>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</si>
  <si>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</si>
  <si>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</si>
  <si>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</si>
  <si>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</si>
  <si>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</si>
  <si>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</si>
  <si>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</si>
  <si>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</si>
  <si>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</si>
  <si>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</si>
  <si>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</si>
  <si>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</si>
  <si>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</si>
  <si>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</si>
  <si>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</si>
  <si>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</si>
  <si>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</si>
  <si>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</si>
  <si>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</si>
  <si>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</si>
  <si>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</si>
  <si>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</si>
  <si>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</si>
  <si>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</si>
  <si>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</si>
  <si>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</si>
  <si>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</si>
  <si>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</si>
  <si>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</si>
  <si>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</si>
  <si>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</si>
  <si>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</si>
  <si>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</si>
  <si>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</si>
  <si>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</si>
  <si>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</si>
  <si>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</si>
  <si>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</si>
  <si>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</si>
  <si>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</si>
  <si>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</si>
  <si>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</si>
  <si>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</si>
  <si>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</si>
  <si>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</si>
  <si>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</si>
  <si>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</si>
  <si>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</si>
  <si>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</si>
  <si>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</si>
  <si>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</si>
  <si>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</si>
  <si>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</si>
  <si>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</si>
  <si>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</si>
  <si>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</si>
  <si>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</si>
  <si>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</si>
  <si>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</si>
  <si>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</si>
  <si>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</si>
  <si>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</si>
  <si>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</si>
  <si>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</si>
  <si>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</si>
  <si>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</si>
  <si>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</si>
  <si>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</si>
  <si>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</si>
  <si>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</si>
  <si>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</si>
  <si>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</si>
  <si>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</si>
  <si>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</si>
  <si>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</si>
  <si>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</si>
  <si>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</si>
  <si>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</si>
  <si>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</si>
  <si>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</si>
  <si>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</si>
  <si>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</si>
  <si>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</si>
  <si>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</si>
  <si>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</si>
  <si>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</si>
  <si>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</si>
  <si>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</si>
  <si>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</si>
  <si>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</si>
  <si>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</si>
  <si>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</si>
  <si>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</si>
  <si>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</si>
  <si>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</si>
  <si>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</si>
  <si>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</si>
  <si>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</si>
  <si>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</si>
  <si>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</si>
  <si>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</si>
  <si>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</si>
  <si>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</si>
  <si>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</si>
  <si>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</si>
  <si>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</si>
  <si>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</si>
  <si>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</si>
  <si>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</si>
  <si>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</si>
  <si>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</si>
  <si>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</si>
  <si>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</si>
  <si>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</si>
  <si>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</si>
  <si>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</si>
  <si>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</si>
  <si>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</si>
  <si>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</si>
  <si>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</si>
  <si>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</si>
  <si>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</si>
  <si>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</si>
  <si>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</si>
  <si>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</si>
  <si>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</si>
  <si>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</si>
  <si>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</si>
  <si>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</si>
  <si>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</si>
  <si>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</si>
  <si>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</si>
  <si>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</si>
  <si>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</si>
  <si>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</si>
  <si>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</si>
  <si>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</si>
  <si>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</si>
  <si>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</si>
  <si>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</si>
  <si>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</si>
  <si>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</si>
  <si>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</si>
  <si>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</si>
  <si>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</si>
  <si>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</si>
  <si>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</si>
  <si>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</si>
  <si>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</si>
  <si>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</si>
  <si>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</si>
  <si>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</si>
  <si>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</si>
  <si>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</si>
  <si>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</si>
  <si>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</si>
  <si>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</si>
  <si>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</si>
  <si>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</si>
  <si>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</si>
  <si>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</si>
  <si>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</si>
  <si>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</si>
  <si>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</si>
  <si>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</si>
  <si>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</si>
  <si>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</si>
  <si>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</si>
  <si>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</si>
  <si>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</si>
  <si>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</si>
  <si>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</si>
  <si>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</si>
  <si>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</si>
  <si>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</si>
  <si>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</si>
  <si>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</si>
  <si>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</si>
  <si>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</si>
  <si>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</si>
  <si>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</si>
  <si>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</si>
  <si>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</si>
  <si>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</si>
  <si>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</si>
  <si>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</si>
  <si>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</si>
  <si>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</si>
  <si>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</si>
  <si>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</si>
  <si>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</si>
  <si>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</si>
  <si>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</si>
  <si>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</si>
  <si>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</si>
  <si>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</si>
  <si>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</si>
  <si>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</si>
  <si>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</si>
  <si>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</si>
  <si>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</si>
  <si>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</si>
  <si>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</si>
  <si>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</si>
  <si>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</si>
  <si>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</si>
  <si>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</si>
  <si>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</si>
  <si>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</si>
  <si>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</si>
  <si>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</si>
  <si>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</si>
  <si>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</si>
  <si>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</si>
  <si>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</si>
  <si>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</si>
  <si>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</si>
  <si>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</si>
  <si>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</si>
  <si>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</si>
  <si>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</si>
  <si>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</si>
  <si>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</si>
  <si>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</si>
  <si>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</si>
  <si>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</si>
  <si>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</si>
  <si>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</si>
  <si>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</si>
  <si>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</si>
  <si>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</si>
  <si>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</si>
  <si>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</si>
  <si>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</si>
  <si>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</si>
  <si>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</si>
  <si>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</si>
  <si>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</si>
  <si>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</si>
  <si>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</si>
  <si>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</si>
  <si>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</si>
  <si>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</si>
  <si>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</si>
  <si>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</si>
  <si>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</si>
  <si>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</si>
  <si>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</si>
  <si>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</si>
  <si>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</si>
  <si>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</si>
  <si>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</si>
  <si>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</si>
  <si>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</si>
  <si>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</si>
  <si>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</si>
  <si>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</si>
  <si>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</si>
  <si>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</si>
  <si>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</si>
  <si>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</si>
  <si>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</si>
  <si>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</si>
  <si>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</si>
  <si>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</si>
  <si>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</si>
  <si>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</si>
  <si>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</si>
  <si>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</si>
  <si>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</si>
  <si>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</si>
  <si>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</si>
  <si>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</si>
  <si>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</si>
  <si>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</si>
  <si>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</si>
  <si>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</si>
  <si>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</si>
  <si>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</si>
  <si>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</si>
  <si>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</si>
  <si>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</si>
  <si>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</si>
  <si>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</si>
  <si>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</si>
  <si>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</si>
  <si>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</si>
  <si>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</si>
  <si>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</si>
  <si>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</si>
  <si>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</si>
  <si>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</si>
  <si>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</si>
  <si>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</si>
  <si>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</si>
  <si>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</si>
  <si>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</si>
  <si>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</si>
  <si>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</si>
  <si>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</si>
  <si>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</si>
  <si>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</si>
  <si>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</si>
  <si>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</si>
  <si>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</si>
  <si>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</si>
  <si>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</si>
  <si>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</si>
  <si>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</si>
  <si>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</si>
  <si>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</si>
  <si>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</si>
  <si>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</si>
  <si>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</si>
  <si>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</si>
  <si>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</si>
  <si>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</si>
  <si>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</si>
  <si>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</si>
  <si>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</si>
  <si>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</si>
  <si>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</si>
  <si>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</si>
  <si>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</si>
  <si>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</si>
  <si>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</si>
  <si>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</si>
  <si>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</si>
  <si>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</si>
  <si>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</si>
  <si>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</si>
  <si>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</si>
  <si>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</si>
  <si>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</si>
  <si>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</si>
  <si>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</si>
  <si>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</si>
  <si>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</si>
  <si>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</si>
  <si>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</si>
  <si>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</si>
  <si>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</si>
  <si>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</si>
  <si>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</si>
  <si>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</si>
  <si>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</si>
  <si>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</si>
  <si>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</si>
  <si>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</si>
  <si>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</si>
  <si>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</si>
  <si>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</si>
  <si>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</si>
  <si>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</si>
  <si>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</si>
  <si>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</si>
  <si>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</si>
  <si>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</si>
  <si>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</si>
  <si>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</si>
  <si>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</si>
  <si>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</si>
  <si>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</si>
  <si>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</si>
  <si>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</si>
  <si>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</si>
  <si>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</si>
  <si>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</si>
  <si>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</si>
  <si>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</si>
  <si>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</si>
  <si>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</si>
  <si>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</si>
  <si>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</si>
  <si>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</si>
  <si>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</si>
  <si>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</si>
  <si>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</si>
  <si>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</si>
  <si>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</si>
  <si>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</si>
  <si>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</si>
  <si>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</si>
  <si>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</si>
  <si>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</si>
  <si>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</si>
  <si>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</si>
  <si>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</si>
  <si>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</si>
  <si>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</si>
  <si>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</si>
  <si>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</si>
  <si>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</si>
  <si>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</si>
  <si>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</si>
  <si>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</si>
  <si>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</si>
  <si>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</si>
  <si>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</si>
  <si>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</si>
  <si>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</si>
  <si>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</si>
  <si>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</si>
  <si>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</si>
  <si>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</si>
  <si>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</si>
  <si>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</si>
  <si>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</si>
  <si>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</si>
  <si>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</si>
  <si>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</si>
  <si>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</si>
  <si>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</si>
  <si>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</si>
  <si>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</si>
  <si>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</si>
  <si>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</si>
  <si>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</si>
  <si>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</si>
  <si>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</si>
  <si>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</si>
  <si>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</si>
  <si>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</si>
  <si>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</si>
  <si>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</si>
  <si>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</si>
  <si>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</si>
  <si>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</si>
  <si>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</si>
  <si>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</si>
  <si>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</si>
  <si>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</si>
  <si>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</si>
  <si>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</si>
  <si>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</si>
  <si>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</si>
  <si>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</si>
  <si>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</si>
  <si>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</si>
  <si>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</si>
  <si>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</si>
  <si>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</si>
  <si>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</si>
  <si>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</si>
  <si>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</si>
  <si>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</si>
  <si>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</si>
  <si>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</si>
  <si>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</si>
  <si>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</si>
  <si>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</si>
  <si>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</si>
  <si>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</si>
  <si>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</si>
  <si>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</si>
  <si>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</si>
  <si>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</si>
  <si>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</si>
  <si>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</si>
  <si>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</si>
  <si>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</si>
  <si>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</si>
  <si>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</si>
  <si>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</si>
  <si>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</si>
  <si>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</si>
  <si>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</si>
  <si>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</si>
  <si>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</si>
  <si>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</si>
  <si>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</si>
  <si>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</si>
  <si>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</si>
  <si>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</si>
  <si>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</si>
  <si>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</si>
  <si>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</si>
  <si>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</si>
  <si>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</si>
  <si>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</si>
  <si>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</si>
  <si>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</si>
  <si>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</si>
  <si>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</si>
  <si>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</si>
  <si>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</si>
  <si>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</si>
  <si>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</si>
  <si>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</si>
  <si>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</si>
  <si>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</si>
  <si>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</si>
  <si>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</si>
  <si>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</si>
  <si>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</si>
  <si>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</si>
  <si>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</si>
  <si>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</si>
  <si>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</si>
  <si>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</si>
  <si>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</si>
  <si>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</si>
  <si>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</si>
  <si>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</si>
  <si>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</si>
  <si>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</si>
  <si>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</si>
  <si>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</si>
  <si>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</si>
  <si>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</si>
  <si>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</si>
  <si>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</si>
  <si>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</si>
  <si>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</si>
  <si>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</si>
  <si>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</si>
  <si>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</si>
  <si>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</si>
  <si>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</si>
  <si>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</si>
  <si>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</si>
  <si>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</si>
  <si>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</si>
  <si>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</si>
  <si>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</si>
  <si>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</si>
  <si>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</si>
  <si>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</si>
  <si>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</si>
  <si>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</si>
  <si>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</si>
  <si>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</si>
  <si>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</si>
  <si>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</si>
  <si>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</si>
  <si>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</si>
  <si>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</si>
  <si>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</si>
  <si>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</si>
  <si>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</si>
  <si>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</si>
  <si>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</si>
  <si>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</si>
  <si>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</si>
  <si>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</si>
  <si>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</si>
  <si>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</si>
  <si>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</si>
  <si>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</si>
  <si>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</si>
  <si>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</si>
  <si>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</si>
  <si>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</si>
  <si>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</si>
  <si>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</si>
  <si>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</si>
  <si>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</si>
  <si>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</si>
  <si>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</si>
  <si>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</si>
  <si>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</si>
  <si>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</si>
  <si>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</si>
  <si>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</si>
  <si>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</si>
  <si>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</si>
  <si>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</si>
  <si>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</si>
  <si>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</si>
  <si>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</si>
  <si>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</si>
  <si>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</si>
  <si>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</si>
  <si>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</si>
  <si>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</si>
  <si>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</si>
  <si>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</si>
  <si>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</si>
  <si>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</si>
  <si>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</si>
  <si>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</si>
  <si>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</si>
  <si>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</si>
  <si>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</si>
  <si>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</si>
  <si>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</si>
  <si>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</si>
  <si>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</si>
  <si>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</si>
  <si>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</si>
  <si>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</si>
  <si>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</si>
  <si>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</si>
  <si>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</si>
  <si>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</si>
  <si>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</si>
  <si>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</si>
  <si>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</si>
  <si>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</si>
  <si>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</si>
  <si>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</si>
  <si>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</si>
  <si>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</si>
  <si>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</si>
  <si>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</si>
  <si>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</si>
  <si>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</si>
  <si>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</si>
  <si>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</si>
  <si>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</si>
  <si>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</si>
  <si>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</si>
  <si>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</si>
  <si>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</si>
  <si>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</si>
  <si>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</si>
  <si>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</si>
  <si>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</si>
  <si>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</si>
  <si>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</si>
  <si>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</si>
  <si>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</si>
  <si>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</si>
  <si>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</si>
  <si>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</si>
  <si>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</si>
  <si>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</si>
  <si>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</si>
  <si>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</si>
  <si>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</si>
  <si>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</si>
  <si>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</si>
  <si>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</si>
  <si>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</si>
  <si>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</si>
  <si>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</si>
  <si>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</si>
  <si>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</si>
  <si>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</si>
  <si>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</si>
  <si>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</si>
  <si>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</si>
  <si>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</si>
  <si>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</si>
  <si>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</si>
  <si>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</si>
  <si>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</si>
  <si>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</si>
  <si>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</si>
  <si>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</si>
  <si>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</si>
  <si>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</si>
  <si>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</si>
  <si>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</si>
  <si>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</si>
  <si>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</si>
  <si>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</si>
  <si>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</si>
  <si>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</si>
  <si>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</si>
  <si>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</si>
  <si>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</si>
  <si>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</si>
  <si>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</si>
  <si>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</si>
  <si>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</si>
  <si>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</si>
  <si>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</si>
  <si>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</si>
  <si>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</si>
  <si>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</si>
  <si>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</si>
  <si>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</si>
  <si>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</si>
  <si>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</si>
  <si>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</si>
  <si>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</si>
  <si>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</si>
  <si>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</si>
  <si>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</si>
  <si>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</si>
  <si>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</si>
  <si>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</si>
  <si>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</si>
  <si>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</si>
  <si>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</si>
  <si>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</si>
  <si>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</si>
  <si>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</si>
  <si>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</si>
  <si>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</si>
  <si>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</si>
  <si>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</si>
  <si>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</si>
  <si>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</si>
  <si>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</si>
  <si>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</si>
  <si>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</si>
  <si>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</si>
  <si>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</si>
  <si>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</si>
  <si>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</si>
  <si>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</si>
  <si>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</si>
  <si>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</si>
  <si>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</si>
  <si>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</si>
  <si>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</si>
  <si>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</si>
  <si>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</si>
  <si>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</si>
  <si>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</si>
  <si>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</si>
  <si>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</si>
  <si>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</si>
  <si>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</si>
  <si>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</si>
  <si>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</si>
  <si>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</si>
  <si>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</si>
  <si>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</si>
  <si>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</si>
  <si>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</si>
  <si>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</si>
  <si>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</si>
  <si>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</si>
  <si>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</si>
  <si>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</si>
  <si>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</si>
  <si>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</si>
  <si>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</si>
  <si>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</si>
  <si>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</si>
  <si>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</si>
  <si>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</si>
  <si>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</si>
  <si>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</si>
  <si>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</si>
  <si>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</si>
  <si>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</si>
  <si>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</si>
  <si>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</si>
  <si>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</si>
  <si>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</si>
  <si>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</si>
  <si>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</si>
  <si>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</si>
  <si>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</si>
  <si>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</si>
  <si>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</si>
  <si>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</si>
  <si>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</si>
  <si>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</si>
  <si>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</si>
  <si>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</si>
  <si>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</si>
  <si>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</si>
  <si>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</si>
  <si>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</si>
  <si>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</si>
  <si>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</si>
  <si>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</si>
  <si>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</si>
  <si>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</si>
  <si>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</si>
  <si>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</si>
  <si>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</si>
  <si>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</si>
  <si>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</si>
  <si>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</si>
  <si>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</si>
  <si>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</si>
  <si>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</si>
  <si>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</si>
  <si>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</si>
  <si>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</si>
  <si>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</si>
  <si>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</si>
  <si>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</si>
  <si>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</si>
  <si>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</si>
  <si>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</si>
  <si>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</si>
  <si>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</si>
  <si>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</si>
  <si>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</si>
  <si>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</si>
  <si>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</si>
  <si>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</si>
  <si>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</si>
  <si>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</si>
  <si>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</si>
  <si>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</si>
  <si>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</si>
  <si>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</si>
  <si>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</si>
  <si>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</si>
  <si>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</si>
  <si>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</si>
  <si>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</si>
  <si>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</si>
  <si>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</si>
  <si>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</si>
  <si>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</si>
  <si>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</si>
  <si>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</si>
  <si>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</si>
  <si>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</si>
  <si>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</si>
  <si>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</si>
  <si>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</si>
  <si>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</si>
  <si>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</si>
  <si>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</si>
  <si>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</si>
  <si>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</si>
  <si>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</si>
  <si>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</si>
  <si>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</si>
  <si>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</si>
  <si>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</si>
  <si>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</si>
  <si>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</si>
  <si>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</si>
  <si>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</si>
  <si>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</si>
  <si>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</si>
  <si>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</si>
  <si>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</si>
  <si>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</si>
  <si>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</si>
  <si>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</si>
  <si>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</si>
  <si>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</si>
  <si>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</si>
  <si>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</si>
  <si>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</si>
  <si>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</si>
  <si>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</si>
  <si>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</si>
  <si>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</si>
  <si>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</si>
  <si>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</si>
  <si>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</si>
  <si>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</si>
  <si>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</si>
  <si>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</si>
  <si>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</si>
  <si>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</si>
  <si>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</si>
  <si>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</si>
  <si>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</si>
  <si>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</si>
  <si>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</si>
  <si>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</si>
  <si>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</si>
  <si>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</si>
  <si>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</si>
  <si>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</si>
  <si>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</si>
  <si>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</si>
  <si>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</si>
  <si>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</si>
  <si>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</si>
  <si>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</si>
  <si>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</si>
  <si>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</si>
  <si>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</si>
  <si>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</si>
  <si>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</si>
  <si>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</si>
  <si>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</si>
  <si>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</si>
  <si>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</si>
  <si>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</si>
  <si>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</si>
  <si>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</si>
  <si>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</si>
  <si>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</si>
  <si>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</si>
  <si>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</si>
  <si>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</si>
  <si>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</si>
  <si>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</si>
  <si>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</si>
  <si>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</si>
  <si>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</si>
  <si>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</si>
  <si>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</si>
  <si>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</si>
  <si>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</si>
  <si>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</si>
  <si>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</si>
  <si>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</si>
  <si>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</si>
  <si>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</si>
  <si>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</si>
  <si>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</si>
  <si>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</si>
  <si>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</si>
  <si>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</si>
  <si>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</si>
  <si>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</si>
  <si>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</si>
  <si>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</si>
  <si>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</si>
  <si>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</si>
  <si>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</si>
  <si>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</si>
  <si>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</si>
  <si>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</si>
  <si>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</si>
  <si>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</si>
  <si>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</si>
  <si>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</si>
  <si>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</si>
  <si>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</si>
  <si>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</si>
  <si>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</si>
  <si>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</si>
  <si>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</si>
  <si>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</si>
  <si>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</si>
  <si>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</si>
  <si>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</si>
  <si>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</si>
  <si>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</si>
  <si>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</si>
  <si>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</si>
  <si>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</si>
  <si>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</si>
  <si>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</si>
  <si>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</si>
  <si>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</si>
  <si>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</si>
  <si>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</si>
  <si>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</si>
  <si>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</si>
  <si>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</si>
  <si>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</si>
  <si>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</si>
  <si>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</si>
  <si>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</si>
  <si>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</si>
  <si>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</si>
  <si>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</si>
  <si>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</si>
  <si>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</si>
  <si>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</si>
  <si>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</si>
  <si>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</si>
  <si>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</si>
  <si>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</si>
  <si>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</si>
  <si>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</si>
  <si>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</si>
  <si>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</si>
  <si>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</si>
  <si>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</si>
  <si>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</si>
  <si>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</si>
  <si>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</si>
  <si>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</si>
  <si>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</si>
  <si>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</si>
  <si>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</si>
  <si>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</si>
  <si>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</si>
  <si>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</si>
  <si>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</si>
  <si>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</si>
  <si>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</si>
  <si>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</si>
  <si>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</si>
  <si>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</si>
  <si>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</si>
  <si>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</si>
  <si>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</si>
  <si>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</si>
  <si>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</si>
  <si>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</si>
  <si>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</si>
  <si>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</si>
  <si>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</si>
  <si>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</si>
  <si>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</si>
  <si>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</si>
  <si>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</si>
  <si>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</si>
  <si>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</si>
  <si>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</si>
  <si>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</si>
  <si>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</si>
  <si>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</si>
  <si>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</si>
  <si>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</si>
  <si>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</si>
  <si>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</si>
  <si>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</si>
  <si>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</si>
  <si>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</si>
  <si>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</si>
  <si>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</si>
  <si>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</si>
  <si>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</si>
  <si>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</si>
  <si>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</si>
  <si>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</si>
  <si>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</si>
  <si>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</si>
  <si>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</si>
  <si>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</si>
  <si>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</si>
  <si>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</si>
  <si>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</si>
  <si>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</si>
  <si>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</si>
  <si>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</si>
  <si>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</si>
  <si>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</si>
  <si>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</si>
  <si>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</si>
  <si>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</si>
  <si>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</si>
  <si>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</si>
  <si>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</si>
  <si>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</si>
  <si>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</si>
  <si>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</si>
  <si>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</si>
  <si>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</si>
  <si>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</si>
  <si>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</si>
  <si>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</si>
  <si>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</si>
  <si>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</si>
  <si>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</si>
  <si>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</si>
  <si>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</si>
  <si>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</si>
  <si>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</si>
  <si>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</si>
  <si>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</si>
  <si>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</si>
  <si>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</si>
  <si>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</si>
  <si>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</si>
  <si>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</si>
  <si>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</si>
  <si>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</si>
  <si>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</si>
  <si>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</si>
  <si>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</si>
  <si>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</si>
  <si>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</si>
  <si>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</si>
  <si>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</si>
  <si>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</si>
  <si>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</si>
  <si>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</si>
  <si>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</si>
  <si>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</si>
  <si>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</si>
  <si>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</si>
  <si>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</si>
  <si>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</si>
  <si>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</si>
  <si>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</si>
  <si>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</si>
  <si>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</si>
  <si>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</si>
  <si>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</si>
  <si>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</si>
  <si>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</si>
  <si>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</si>
  <si>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</si>
  <si>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</si>
  <si>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</si>
  <si>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</si>
  <si>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</si>
  <si>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</si>
  <si>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</si>
  <si>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</si>
  <si>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</si>
  <si>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</si>
  <si>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</si>
  <si>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</si>
  <si>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</si>
  <si>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</si>
  <si>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</si>
  <si>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</si>
  <si>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</si>
  <si>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</si>
  <si>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</si>
  <si>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</si>
  <si>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</si>
  <si>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</si>
  <si>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</si>
  <si>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</si>
  <si>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</si>
  <si>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</si>
  <si>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</si>
  <si>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</si>
  <si>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</si>
  <si>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</si>
  <si>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</si>
  <si>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</si>
  <si>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</si>
  <si>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</si>
  <si>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</si>
  <si>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</si>
  <si>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</si>
  <si>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</si>
  <si>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</si>
  <si>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</si>
  <si>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</si>
  <si>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</si>
  <si>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</si>
  <si>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</si>
  <si>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</si>
  <si>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</si>
  <si>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</si>
  <si>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</si>
  <si>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</si>
  <si>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</si>
  <si>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</si>
  <si>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</si>
  <si>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</si>
  <si>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</si>
  <si>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</si>
  <si>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</si>
  <si>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</si>
  <si>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</si>
  <si>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</si>
  <si>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</si>
  <si>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</si>
  <si>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</si>
  <si>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</si>
  <si>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</si>
  <si>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</si>
  <si>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</si>
  <si>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</si>
  <si>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</si>
  <si>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</si>
  <si>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</si>
  <si>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</si>
  <si>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</si>
  <si>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</si>
  <si>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</si>
  <si>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</si>
  <si>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</si>
  <si>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</si>
  <si>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</si>
  <si>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</si>
  <si>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</si>
  <si>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</si>
  <si>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</si>
  <si>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</si>
  <si>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</si>
  <si>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</si>
  <si>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</si>
  <si>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</si>
  <si>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</si>
  <si>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</si>
  <si>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</si>
  <si>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</si>
  <si>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</si>
  <si>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</si>
  <si>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</si>
  <si>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</si>
  <si>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</si>
  <si>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</si>
  <si>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</si>
  <si>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</si>
  <si>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</si>
  <si>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</si>
  <si>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</si>
  <si>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</si>
  <si>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</si>
  <si>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</si>
  <si>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</si>
  <si>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</si>
  <si>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</si>
  <si>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</si>
  <si>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</si>
  <si>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</si>
  <si>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</si>
  <si>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</si>
  <si>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</si>
  <si>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</si>
  <si>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</si>
  <si>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</si>
  <si>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</si>
  <si>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</si>
  <si>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</si>
  <si>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</si>
  <si>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</si>
  <si>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</si>
  <si>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</si>
  <si>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</si>
  <si>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</si>
  <si>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</si>
  <si>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</si>
  <si>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</si>
  <si>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</si>
  <si>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</si>
  <si>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</si>
  <si>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</si>
  <si>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</si>
  <si>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</si>
  <si>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</si>
  <si>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</si>
  <si>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</si>
  <si>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</si>
  <si>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</si>
  <si>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</si>
  <si>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</si>
  <si>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</si>
  <si>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</si>
  <si>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</si>
  <si>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</si>
  <si>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</si>
  <si>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</si>
  <si>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</si>
  <si>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</si>
  <si>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</si>
  <si>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</si>
  <si>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</si>
  <si>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</si>
  <si>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</si>
  <si>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</si>
  <si>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</si>
  <si>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</si>
  <si>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</si>
  <si>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</si>
  <si>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</si>
  <si>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</si>
  <si>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</si>
  <si>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</si>
  <si>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</si>
  <si>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</si>
  <si>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</si>
  <si>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</si>
  <si>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</si>
  <si>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</si>
  <si>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</si>
  <si>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</si>
  <si>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</si>
  <si>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</si>
  <si>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</si>
  <si>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</si>
  <si>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</si>
  <si>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</si>
  <si>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</si>
  <si>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</si>
  <si>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</si>
  <si>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</si>
  <si>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</si>
  <si>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</si>
  <si>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</si>
  <si>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</si>
  <si>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</si>
  <si>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</si>
  <si>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</si>
  <si>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</si>
  <si>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</si>
  <si>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</si>
  <si>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</si>
  <si>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</si>
  <si>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</si>
  <si>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</si>
  <si>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</si>
  <si>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</si>
  <si>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</si>
  <si>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</si>
  <si>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</si>
  <si>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</si>
  <si>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</si>
  <si>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</si>
  <si>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</si>
  <si>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</si>
  <si>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</si>
  <si>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</si>
  <si>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</si>
  <si>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</si>
  <si>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</si>
  <si>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</si>
  <si>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</si>
  <si>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</si>
  <si>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</si>
  <si>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</si>
  <si>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</si>
  <si>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</si>
  <si>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</si>
  <si>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</si>
  <si>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</si>
  <si>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</si>
  <si>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</si>
  <si>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</si>
  <si>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</si>
  <si>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</si>
  <si>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</si>
  <si>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</si>
  <si>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</si>
  <si>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</si>
  <si>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</si>
  <si>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</si>
  <si>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</si>
  <si>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</si>
  <si>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</si>
  <si>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</si>
  <si>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</si>
  <si>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</si>
  <si>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</si>
  <si>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</si>
  <si>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</si>
  <si>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</si>
  <si>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</si>
  <si>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</si>
  <si>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</si>
  <si>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</si>
  <si>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</si>
  <si>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</si>
  <si>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</si>
  <si>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</si>
  <si>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</si>
  <si>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</si>
  <si>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</si>
  <si>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</si>
  <si>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</si>
  <si>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</si>
  <si>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</si>
  <si>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</si>
  <si>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</si>
  <si>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</si>
  <si>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</si>
  <si>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</si>
  <si>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</si>
  <si>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</si>
  <si>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</si>
  <si>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</si>
  <si>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</si>
  <si>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</si>
  <si>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</si>
  <si>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</si>
  <si>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</si>
  <si>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</si>
  <si>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</si>
  <si>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</si>
  <si>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</si>
  <si>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</si>
  <si>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</si>
  <si>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</si>
  <si>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</si>
  <si>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</si>
  <si>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</si>
  <si>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</si>
  <si>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</si>
  <si>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</si>
  <si>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</si>
  <si>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</si>
  <si>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</si>
  <si>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</si>
  <si>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</si>
  <si>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</si>
  <si>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</si>
  <si>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</si>
  <si>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</si>
  <si>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</si>
  <si>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</si>
  <si>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</si>
  <si>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</si>
  <si>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</si>
  <si>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</si>
  <si>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</si>
  <si>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</si>
  <si>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</si>
  <si>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</si>
  <si>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</si>
  <si>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</si>
  <si>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</si>
  <si>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</si>
  <si>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</si>
  <si>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</si>
  <si>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</si>
  <si>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</si>
  <si>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</si>
  <si>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</si>
  <si>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</si>
  <si>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</si>
  <si>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</si>
  <si>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</si>
  <si>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</si>
  <si>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</si>
  <si>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</si>
  <si>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</si>
  <si>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</si>
  <si>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</si>
  <si>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</si>
  <si>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</si>
  <si>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</si>
  <si>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</si>
  <si>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</si>
  <si>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</si>
  <si>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</si>
  <si>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</si>
  <si>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</si>
  <si>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</si>
  <si>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</si>
  <si>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</si>
  <si>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</si>
  <si>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</si>
  <si>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</si>
  <si>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</si>
  <si>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</si>
  <si>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</si>
  <si>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</si>
  <si>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</si>
  <si>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</si>
  <si>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</si>
  <si>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</si>
  <si>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</si>
  <si>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</si>
  <si>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</si>
  <si>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</si>
  <si>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</si>
  <si>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</si>
  <si>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</si>
  <si>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</si>
  <si>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</si>
  <si>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</si>
  <si>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</si>
  <si>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</si>
  <si>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</si>
  <si>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</si>
  <si>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</si>
  <si>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</si>
  <si>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</si>
  <si>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</si>
  <si>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</si>
  <si>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</si>
  <si>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</si>
  <si>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</si>
  <si>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</si>
  <si>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</si>
  <si>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</si>
  <si>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</si>
  <si>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</si>
  <si>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</si>
  <si>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</si>
  <si>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</si>
  <si>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</si>
  <si>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</si>
  <si>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</si>
  <si>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</si>
  <si>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</si>
  <si>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</si>
  <si>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</si>
  <si>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</si>
  <si>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</si>
  <si>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</si>
  <si>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</si>
  <si>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</si>
  <si>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</si>
  <si>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</si>
  <si>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</si>
  <si>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</si>
  <si>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</si>
  <si>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</si>
  <si>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</si>
  <si>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</si>
  <si>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</si>
  <si>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</si>
  <si>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</si>
  <si>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</si>
  <si>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</si>
  <si>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</si>
  <si>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</si>
  <si>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</si>
  <si>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</si>
  <si>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</si>
  <si>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</si>
  <si>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</si>
  <si>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</si>
  <si>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</si>
  <si>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</si>
  <si>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</si>
  <si>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</si>
  <si>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</si>
  <si>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</si>
  <si>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</si>
  <si>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</si>
  <si>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</si>
  <si>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</si>
  <si>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</si>
  <si>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</si>
  <si>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</si>
  <si>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</si>
  <si>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</si>
  <si>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</si>
  <si>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</si>
  <si>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</si>
  <si>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</si>
  <si>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</si>
  <si>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</si>
  <si>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</si>
  <si>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</si>
  <si>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</si>
  <si>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</si>
  <si>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</si>
  <si>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</si>
  <si>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</si>
  <si>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</si>
  <si>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</si>
  <si>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</si>
  <si>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</si>
  <si>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</si>
  <si>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</si>
  <si>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</si>
  <si>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</si>
  <si>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</si>
  <si>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</si>
  <si>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</si>
  <si>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</si>
  <si>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</si>
  <si>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</si>
  <si>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</si>
  <si>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</si>
  <si>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</si>
  <si>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</si>
  <si>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</si>
  <si>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</si>
  <si>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</si>
  <si>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</si>
  <si>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</si>
  <si>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</si>
  <si>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</si>
  <si>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</si>
  <si>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</si>
  <si>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</si>
  <si>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</si>
  <si>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</si>
  <si>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</si>
  <si>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</si>
  <si>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</si>
  <si>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</si>
  <si>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</si>
  <si>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</si>
  <si>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</si>
  <si>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</si>
  <si>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</si>
  <si>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</si>
  <si>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</si>
  <si>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</si>
  <si>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</si>
  <si>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</si>
  <si>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</si>
  <si>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</si>
  <si>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</si>
  <si>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</si>
  <si>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</si>
  <si>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</si>
  <si>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</si>
  <si>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</si>
  <si>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</si>
  <si>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</si>
  <si>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</si>
  <si>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</si>
  <si>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</si>
  <si>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</si>
  <si>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</si>
  <si>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</si>
  <si>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</si>
  <si>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</si>
  <si>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</si>
  <si>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</si>
  <si>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</si>
  <si>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</si>
  <si>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</si>
  <si>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</si>
  <si>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</si>
  <si>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</si>
  <si>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</si>
  <si>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</si>
  <si>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</si>
  <si>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</si>
  <si>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</si>
  <si>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</si>
  <si>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</si>
  <si>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</si>
  <si>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</si>
  <si>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</si>
  <si>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</si>
  <si>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</si>
  <si>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</si>
  <si>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</si>
  <si>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</si>
  <si>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</si>
  <si>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</si>
  <si>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</si>
  <si>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</si>
  <si>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</si>
  <si>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</si>
  <si>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</si>
  <si>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</si>
  <si>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</si>
  <si>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</si>
  <si>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</si>
  <si>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</si>
  <si>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</si>
  <si>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</si>
  <si>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</si>
  <si>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</si>
  <si>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</si>
  <si>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</si>
  <si>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</si>
  <si>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</si>
  <si>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</si>
  <si>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</si>
  <si>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</si>
  <si>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</si>
  <si>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</si>
  <si>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</si>
  <si>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</si>
  <si>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</si>
  <si>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</si>
  <si>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</si>
  <si>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</si>
  <si>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</si>
  <si>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</si>
  <si>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</si>
  <si>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</si>
  <si>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</si>
  <si>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</si>
  <si>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</si>
  <si>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</si>
  <si>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</si>
  <si>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</si>
  <si>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</si>
  <si>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</si>
  <si>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</si>
  <si>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</si>
  <si>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</si>
  <si>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</si>
  <si>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</si>
  <si>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</si>
  <si>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</si>
  <si>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</si>
  <si>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</si>
  <si>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</si>
  <si>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</si>
  <si>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</si>
  <si>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</si>
  <si>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</si>
  <si>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</si>
  <si>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</si>
  <si>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</si>
  <si>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</si>
  <si>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</si>
  <si>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</si>
  <si>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</si>
  <si>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</si>
  <si>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</si>
  <si>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</si>
  <si>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</si>
  <si>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</si>
  <si>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</si>
  <si>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</si>
  <si>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</si>
  <si>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</si>
  <si>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</si>
  <si>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</si>
  <si>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</si>
  <si>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</si>
  <si>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</si>
  <si>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</si>
  <si>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</si>
  <si>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</si>
  <si>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</si>
  <si>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</si>
  <si>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</si>
  <si>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</si>
  <si>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</si>
  <si>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</si>
  <si>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</si>
  <si>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</si>
  <si>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</si>
  <si>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</si>
  <si>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</si>
  <si>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</si>
  <si>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</si>
  <si>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</si>
  <si>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</si>
  <si>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</si>
  <si>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</si>
  <si>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</si>
  <si>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</si>
  <si>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</si>
  <si>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</si>
  <si>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</si>
  <si>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</si>
  <si>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</si>
  <si>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</si>
  <si>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</si>
  <si>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</si>
  <si>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</si>
  <si>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</si>
  <si>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</si>
  <si>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</si>
  <si>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</si>
  <si>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</si>
  <si>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</si>
  <si>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</si>
  <si>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</si>
  <si>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</si>
  <si>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</si>
  <si>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</si>
  <si>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</si>
  <si>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</si>
  <si>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</si>
  <si>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</si>
  <si>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</si>
  <si>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</si>
  <si>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</si>
  <si>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</si>
  <si>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</si>
  <si>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</si>
  <si>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</si>
  <si>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</si>
  <si>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</si>
  <si>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</si>
  <si>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</si>
  <si>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</si>
  <si>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</si>
  <si>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</si>
  <si>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</si>
  <si>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</si>
  <si>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</si>
  <si>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</si>
  <si>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</si>
  <si>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</si>
  <si>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</si>
  <si>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</si>
  <si>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</si>
  <si>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</si>
  <si>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</si>
  <si>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</si>
  <si>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</si>
  <si>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</si>
  <si>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</si>
  <si>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</si>
  <si>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</si>
  <si>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</si>
  <si>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</si>
  <si>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</si>
  <si>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</si>
  <si>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</si>
  <si>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</si>
  <si>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</si>
  <si>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</si>
  <si>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</si>
  <si>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</si>
  <si>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</si>
  <si>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</si>
  <si>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</si>
  <si>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</si>
  <si>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</si>
  <si>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</si>
  <si>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</si>
  <si>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</si>
  <si>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</si>
  <si>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</si>
  <si>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</si>
  <si>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</si>
  <si>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</si>
  <si>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</si>
  <si>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</si>
  <si>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</si>
  <si>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</si>
  <si>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</si>
  <si>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</si>
  <si>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</si>
  <si>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</si>
  <si>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</si>
  <si>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</si>
  <si>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</si>
  <si>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</si>
  <si>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</si>
  <si>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</si>
  <si>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</si>
  <si>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</si>
  <si>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</si>
  <si>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</si>
  <si>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</si>
  <si>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</si>
  <si>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</si>
  <si>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</si>
  <si>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</si>
  <si>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</si>
  <si>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</si>
  <si>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</si>
  <si>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</si>
  <si>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</si>
  <si>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</si>
  <si>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</si>
  <si>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</si>
  <si>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</si>
  <si>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</si>
  <si>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</si>
  <si>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</si>
  <si>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</si>
  <si>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</si>
  <si>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</si>
  <si>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</si>
  <si>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</si>
  <si>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</si>
  <si>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</si>
  <si>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</si>
  <si>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</si>
  <si>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</si>
  <si>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</si>
  <si>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</si>
  <si>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</si>
  <si>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</si>
  <si>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</si>
  <si>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</si>
  <si>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</si>
  <si>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</si>
  <si>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</si>
  <si>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</si>
  <si>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</si>
  <si>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</si>
  <si>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</si>
  <si>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</si>
  <si>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</si>
  <si>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</si>
  <si>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</si>
  <si>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</si>
  <si>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</si>
  <si>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</si>
  <si>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</si>
  <si>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</si>
  <si>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</si>
  <si>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</si>
  <si>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</si>
  <si>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</si>
  <si>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</si>
  <si>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</si>
  <si>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</si>
  <si>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</si>
  <si>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</si>
  <si>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</si>
  <si>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</si>
  <si>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</si>
  <si>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</si>
  <si>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</si>
  <si>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</si>
  <si>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</si>
  <si>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</si>
  <si>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</si>
  <si>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</si>
  <si>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</si>
  <si>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</si>
  <si>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</si>
  <si>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</si>
  <si>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</si>
  <si>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</si>
  <si>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</si>
  <si>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</si>
  <si>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</si>
  <si>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</si>
  <si>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</si>
  <si>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</si>
  <si>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</si>
  <si>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</si>
  <si>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</si>
  <si>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</si>
  <si>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</si>
  <si>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</si>
  <si>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</si>
  <si>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</si>
  <si>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</si>
  <si>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</si>
  <si>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</si>
  <si>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</si>
  <si>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</si>
  <si>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</si>
  <si>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</si>
  <si>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</si>
  <si>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</si>
  <si>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</si>
  <si>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</si>
  <si>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</si>
  <si>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</si>
  <si>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</si>
  <si>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</si>
  <si>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</si>
  <si>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</si>
  <si>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</si>
  <si>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</si>
  <si>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</si>
  <si>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</si>
  <si>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</si>
  <si>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</si>
  <si>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</si>
  <si>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</si>
  <si>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</si>
  <si>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</si>
  <si>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</si>
  <si>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</si>
  <si>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</si>
  <si>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</si>
  <si>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</si>
  <si>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</si>
  <si>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</si>
  <si>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</si>
  <si>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</si>
  <si>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</si>
  <si>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</si>
  <si>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</si>
  <si>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</si>
  <si>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</si>
  <si>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</si>
  <si>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</si>
  <si>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</si>
  <si>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</si>
  <si>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</si>
  <si>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</si>
  <si>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</si>
  <si>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</si>
  <si>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</si>
  <si>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</si>
  <si>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</si>
  <si>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</si>
  <si>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</si>
  <si>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</si>
  <si>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</si>
  <si>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</si>
  <si>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</si>
  <si>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</si>
  <si>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</si>
  <si>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</si>
  <si>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</si>
  <si>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</si>
  <si>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</si>
  <si>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</si>
  <si>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</si>
  <si>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</si>
  <si>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</si>
  <si>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</si>
  <si>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</si>
  <si>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</si>
  <si>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</si>
  <si>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</si>
  <si>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</si>
  <si>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</si>
  <si>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</si>
  <si>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</si>
  <si>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</si>
  <si>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</si>
  <si>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</si>
  <si>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</si>
  <si>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</si>
  <si>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</si>
  <si>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</si>
  <si>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</si>
  <si>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</si>
  <si>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</si>
  <si>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</si>
  <si>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</si>
  <si>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</si>
  <si>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</si>
  <si>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</si>
  <si>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</si>
  <si>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</si>
  <si>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</si>
  <si>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</si>
  <si>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</si>
  <si>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</si>
  <si>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</si>
  <si>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</si>
  <si>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</si>
  <si>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</si>
  <si>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</si>
  <si>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</si>
  <si>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</si>
  <si>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</si>
  <si>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</si>
  <si>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</si>
  <si>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</si>
  <si>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</si>
  <si>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</si>
  <si>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</si>
  <si>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</si>
  <si>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</si>
  <si>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</si>
  <si>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</si>
  <si>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</si>
  <si>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</si>
  <si>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</si>
  <si>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</si>
  <si>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</si>
  <si>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</si>
  <si>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</si>
  <si>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</si>
  <si>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</si>
  <si>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</si>
  <si>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</si>
  <si>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</si>
  <si>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</si>
  <si>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</si>
  <si>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</si>
  <si>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</si>
  <si>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</si>
  <si>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</si>
  <si>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</si>
  <si>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</si>
  <si>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</si>
  <si>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</si>
  <si>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</si>
  <si>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</si>
  <si>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</si>
  <si>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</si>
  <si>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</si>
  <si>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</si>
  <si>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</si>
  <si>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</si>
  <si>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</si>
  <si>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</si>
  <si>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</si>
  <si>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</si>
  <si>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</si>
  <si>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</si>
  <si>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</si>
  <si>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</si>
  <si>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</si>
  <si>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</si>
  <si>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</si>
  <si>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</si>
  <si>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</si>
  <si>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</si>
  <si>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</si>
  <si>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</si>
  <si>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</si>
  <si>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</si>
  <si>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</si>
  <si>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</si>
  <si>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</si>
  <si>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</si>
  <si>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</si>
  <si>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</si>
  <si>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</si>
  <si>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</si>
  <si>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</si>
  <si>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</si>
  <si>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</si>
  <si>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</si>
  <si>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</si>
  <si>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</si>
  <si>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</si>
  <si>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</si>
  <si>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</si>
  <si>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</si>
  <si>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</si>
  <si>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</si>
  <si>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</si>
  <si>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</si>
  <si>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</si>
  <si>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</si>
  <si>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</si>
  <si>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</si>
  <si>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</si>
  <si>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</si>
  <si>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</si>
  <si>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</si>
  <si>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</si>
  <si>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</si>
  <si>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</si>
  <si>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</si>
  <si>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</si>
  <si>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</si>
  <si>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</si>
  <si>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</si>
  <si>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</si>
  <si>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</si>
  <si>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</si>
  <si>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</si>
  <si>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</si>
  <si>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</si>
  <si>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</si>
  <si>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</si>
  <si>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</si>
  <si>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</si>
  <si>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</si>
  <si>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</si>
  <si>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</si>
  <si>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</si>
  <si>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</si>
  <si>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</si>
  <si>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</si>
  <si>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</si>
  <si>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</si>
  <si>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</si>
  <si>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</si>
  <si>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</si>
  <si>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</si>
  <si>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</si>
  <si>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</si>
  <si>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</si>
  <si>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</si>
  <si>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</si>
  <si>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</si>
  <si>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</si>
  <si>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</si>
  <si>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</si>
  <si>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</si>
  <si>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</si>
  <si>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</si>
  <si>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</si>
  <si>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</si>
  <si>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</si>
  <si>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</si>
  <si>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</si>
  <si>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</si>
  <si>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</si>
  <si>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</si>
  <si>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</si>
  <si>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</si>
  <si>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</si>
  <si>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</si>
  <si>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</si>
  <si>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</si>
  <si>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</si>
  <si>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</si>
  <si>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</si>
  <si>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</si>
  <si>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</si>
  <si>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</si>
  <si>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</si>
  <si>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</si>
  <si>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</si>
  <si>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</si>
  <si>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</si>
  <si>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</si>
  <si>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</si>
  <si>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</si>
  <si>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</si>
  <si>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</si>
  <si>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</si>
  <si>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</si>
  <si>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</si>
  <si>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</si>
  <si>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</si>
  <si>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</si>
  <si>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</si>
  <si>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</si>
  <si>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</si>
  <si>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</si>
  <si>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</si>
  <si>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</si>
  <si>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</si>
  <si>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</si>
  <si>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</si>
  <si>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</si>
  <si>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</si>
  <si>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</si>
  <si>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</si>
  <si>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</si>
  <si>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</si>
  <si>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</si>
  <si>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</si>
  <si>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</si>
  <si>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</si>
  <si>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</si>
  <si>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</si>
  <si>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</si>
  <si>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</si>
  <si>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</si>
  <si>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</si>
  <si>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</si>
  <si>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</si>
  <si>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</si>
  <si>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</si>
  <si>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</si>
  <si>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</si>
  <si>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</si>
  <si>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</si>
  <si>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</si>
  <si>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</si>
  <si>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</si>
  <si>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</si>
  <si>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</si>
  <si>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</si>
  <si>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</si>
  <si>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</si>
  <si>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</si>
  <si>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</si>
  <si>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</si>
  <si>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</si>
  <si>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</si>
  <si>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</si>
  <si>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</si>
  <si>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</si>
  <si>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</si>
  <si>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</si>
  <si>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</si>
  <si>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</si>
  <si>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</si>
  <si>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</si>
  <si>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</si>
  <si>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</si>
  <si>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</si>
  <si>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</si>
  <si>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</si>
  <si>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</si>
  <si>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</si>
  <si>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</si>
  <si>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</si>
  <si>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</si>
  <si>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</si>
  <si>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</si>
  <si>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</si>
  <si>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</si>
  <si>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</si>
  <si>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</si>
  <si>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</si>
  <si>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</si>
  <si>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</si>
  <si>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</si>
  <si>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</si>
  <si>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</si>
  <si>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</si>
  <si>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</si>
  <si>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</si>
  <si>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</si>
  <si>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</si>
  <si>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</si>
  <si>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</si>
  <si>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</si>
  <si>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</si>
  <si>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</si>
  <si>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</si>
  <si>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</si>
  <si>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</si>
  <si>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</si>
  <si>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</si>
  <si>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</si>
  <si>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</si>
  <si>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</si>
  <si>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</si>
  <si>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</si>
  <si>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</si>
  <si>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</si>
  <si>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</si>
  <si>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</si>
  <si>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</si>
  <si>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</si>
  <si>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</si>
  <si>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</si>
  <si>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</si>
  <si>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</si>
  <si>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</si>
  <si>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</si>
  <si>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</si>
  <si>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</si>
  <si>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</si>
  <si>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</si>
  <si>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</si>
  <si>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</si>
  <si>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</si>
  <si>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</si>
  <si>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</si>
  <si>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</si>
  <si>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</si>
  <si>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</si>
  <si>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</si>
  <si>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</si>
  <si>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</si>
  <si>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</si>
  <si>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</si>
  <si>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</si>
  <si>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</si>
  <si>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</si>
  <si>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</si>
  <si>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</si>
  <si>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</si>
  <si>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</si>
  <si>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</si>
  <si>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</si>
  <si>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</si>
  <si>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</si>
  <si>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</si>
  <si>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</si>
  <si>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</si>
  <si>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</si>
  <si>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</si>
  <si>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</si>
  <si>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</si>
  <si>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</si>
  <si>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</si>
  <si>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</si>
  <si>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</si>
  <si>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</si>
  <si>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</si>
  <si>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</si>
  <si>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</si>
  <si>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</si>
  <si>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</si>
  <si>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</si>
  <si>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</si>
  <si>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</si>
  <si>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</si>
  <si>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</si>
  <si>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</si>
  <si>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</si>
  <si>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</si>
  <si>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</si>
  <si>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</si>
  <si>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</si>
  <si>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</si>
  <si>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</si>
  <si>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</si>
  <si>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</si>
  <si>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</si>
  <si>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</si>
  <si>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</si>
  <si>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</si>
  <si>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</si>
  <si>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</si>
  <si>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</si>
  <si>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</si>
  <si>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</si>
  <si>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</si>
  <si>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</si>
  <si>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</si>
  <si>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</si>
  <si>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</si>
  <si>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</si>
  <si>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</si>
  <si>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</si>
  <si>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</si>
  <si>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</si>
  <si>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</si>
  <si>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</si>
  <si>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</si>
  <si>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</si>
  <si>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</si>
  <si>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</si>
  <si>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</si>
  <si>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</si>
  <si>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</si>
  <si>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</si>
  <si>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</si>
  <si>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</si>
  <si>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</si>
  <si>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</si>
  <si>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</si>
  <si>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</si>
  <si>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</si>
  <si>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</si>
  <si>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</si>
  <si>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</si>
  <si>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</si>
  <si>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</si>
  <si>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</si>
  <si>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</si>
  <si>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</si>
  <si>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</si>
  <si>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</si>
  <si>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</si>
  <si>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</si>
  <si>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</si>
  <si>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</si>
  <si>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</si>
  <si>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</si>
  <si>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</si>
  <si>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</si>
  <si>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</si>
  <si>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</si>
  <si>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</si>
  <si>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</si>
  <si>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</si>
  <si>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</si>
  <si>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</si>
  <si>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</si>
  <si>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</si>
  <si>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</si>
  <si>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</si>
  <si>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</si>
  <si>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</si>
  <si>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</si>
  <si>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</si>
  <si>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</si>
  <si>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</si>
  <si>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</si>
  <si>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</si>
  <si>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</si>
  <si>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</si>
  <si>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</si>
  <si>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</si>
  <si>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</si>
  <si>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</si>
  <si>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</si>
  <si>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</si>
  <si>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</si>
  <si>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</si>
  <si>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</si>
  <si>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</si>
  <si>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</si>
  <si>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</si>
  <si>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</si>
  <si>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</si>
  <si>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</si>
  <si>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</si>
  <si>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</si>
  <si>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</si>
  <si>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</si>
  <si>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</si>
  <si>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</si>
  <si>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</si>
  <si>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</si>
  <si>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</si>
  <si>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</si>
  <si>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</si>
  <si>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</si>
  <si>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</si>
  <si>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</si>
  <si>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</si>
  <si>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</si>
  <si>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</si>
  <si>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</si>
  <si>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</si>
  <si>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</si>
  <si>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</si>
  <si>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</si>
  <si>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</si>
  <si>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</si>
  <si>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</si>
  <si>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</si>
  <si>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</si>
  <si>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</si>
  <si>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</si>
  <si>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</si>
  <si>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</si>
  <si>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</si>
  <si>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</si>
  <si>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</si>
  <si>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</si>
  <si>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</si>
  <si>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</si>
  <si>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</si>
  <si>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</si>
  <si>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</si>
  <si>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</si>
  <si>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</si>
  <si>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</si>
  <si>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</si>
  <si>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</si>
  <si>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</si>
  <si>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</si>
  <si>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</si>
  <si>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</si>
  <si>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</si>
  <si>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</si>
  <si>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</si>
  <si>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</si>
  <si>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</si>
  <si>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</si>
  <si>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</si>
  <si>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</si>
  <si>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</si>
  <si>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</si>
  <si>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</si>
  <si>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</si>
  <si>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</si>
  <si>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</si>
  <si>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</si>
  <si>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</si>
  <si>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</si>
  <si>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</si>
  <si>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</si>
  <si>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</si>
  <si>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</si>
  <si>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</si>
  <si>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</si>
  <si>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</si>
  <si>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</si>
  <si>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</si>
  <si>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</si>
  <si>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</si>
  <si>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</si>
  <si>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</si>
  <si>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</si>
  <si>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</si>
  <si>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</si>
  <si>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</si>
  <si>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</si>
  <si>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</si>
  <si>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</si>
  <si>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</si>
  <si>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</si>
  <si>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</si>
  <si>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</si>
  <si>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</si>
  <si>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</si>
  <si>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</si>
  <si>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</si>
  <si>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</si>
  <si>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</si>
  <si>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</si>
  <si>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</si>
  <si>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</si>
  <si>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</si>
  <si>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</si>
  <si>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</si>
  <si>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</si>
  <si>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</si>
  <si>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</si>
  <si>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</si>
  <si>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</si>
  <si>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</si>
  <si>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</si>
  <si>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</si>
  <si>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</si>
  <si>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</si>
  <si>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</si>
  <si>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</si>
  <si>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</si>
  <si>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</si>
  <si>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</si>
  <si>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</si>
  <si>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</si>
  <si>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</si>
  <si>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</si>
  <si>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</si>
  <si>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</si>
  <si>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</si>
  <si>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</si>
  <si>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</si>
  <si>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</si>
  <si>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</si>
  <si>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</si>
  <si>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</si>
  <si>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</si>
  <si>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</si>
  <si>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</si>
  <si>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</si>
  <si>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</si>
  <si>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</si>
  <si>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</si>
  <si>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</si>
  <si>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</si>
  <si>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</si>
  <si>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</si>
  <si>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</si>
  <si>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</si>
  <si>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</si>
  <si>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</si>
  <si>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</si>
  <si>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</si>
  <si>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</si>
  <si>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</si>
  <si>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</si>
  <si>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</si>
  <si>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</si>
  <si>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</si>
  <si>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</si>
  <si>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</si>
  <si>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</si>
  <si>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</si>
  <si>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</si>
  <si>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</si>
  <si>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</si>
  <si>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</si>
  <si>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</si>
  <si>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</si>
  <si>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</si>
  <si>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</si>
  <si>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</si>
  <si>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</si>
  <si>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</si>
  <si>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</si>
  <si>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</si>
  <si>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</si>
  <si>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</si>
  <si>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</si>
  <si>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</si>
  <si>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</si>
  <si>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</si>
  <si>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</si>
  <si>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</si>
  <si>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</si>
  <si>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</si>
  <si>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</si>
  <si>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</si>
  <si>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</si>
  <si>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</si>
  <si>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</si>
  <si>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</si>
  <si>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</si>
  <si>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</si>
  <si>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</si>
  <si>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</si>
  <si>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</si>
  <si>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</si>
  <si>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</si>
  <si>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</si>
  <si>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</si>
  <si>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</si>
  <si>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</si>
  <si>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</si>
  <si>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</si>
  <si>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</si>
  <si>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</si>
  <si>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</si>
  <si>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</si>
  <si>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</si>
  <si>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</si>
  <si>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</si>
  <si>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</si>
  <si>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</si>
  <si>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</si>
  <si>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</si>
  <si>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</si>
  <si>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</si>
  <si>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</si>
  <si>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</si>
  <si>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</si>
  <si>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</si>
  <si>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</si>
  <si>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</si>
  <si>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</si>
  <si>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</si>
  <si>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</si>
  <si>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</si>
  <si>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</si>
  <si>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</si>
  <si>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</si>
  <si>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</si>
  <si>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</si>
  <si>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</si>
  <si>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</si>
  <si>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</si>
  <si>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</si>
  <si>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</si>
  <si>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</si>
  <si>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</si>
  <si>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</si>
  <si>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</si>
  <si>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</si>
  <si>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</si>
  <si>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</si>
  <si>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</si>
  <si>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</si>
  <si>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</si>
  <si>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</si>
  <si>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</si>
  <si>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</si>
  <si>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</si>
  <si>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</si>
  <si>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</si>
  <si>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</si>
  <si>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</si>
  <si>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</si>
  <si>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</si>
  <si>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</si>
  <si>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</si>
  <si>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</si>
  <si>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</si>
  <si>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</si>
  <si>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</si>
  <si>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</si>
  <si>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</si>
  <si>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</si>
  <si>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</si>
  <si>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</si>
  <si>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</si>
  <si>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</si>
  <si>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</si>
  <si>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</si>
  <si>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</si>
  <si>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</si>
  <si>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</si>
  <si>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</si>
  <si>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</si>
  <si>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</si>
  <si>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</si>
  <si>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</si>
  <si>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</si>
  <si>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</si>
  <si>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</si>
  <si>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</si>
  <si>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</si>
  <si>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</si>
  <si>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</si>
  <si>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</si>
  <si>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</si>
  <si>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</si>
  <si>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</si>
  <si>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</si>
  <si>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</si>
  <si>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</si>
  <si>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</si>
  <si>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</si>
  <si>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</si>
  <si>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</si>
  <si>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</si>
  <si>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</si>
  <si>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</si>
  <si>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</si>
  <si>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</si>
  <si>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</si>
  <si>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</si>
  <si>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</si>
  <si>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</si>
  <si>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</si>
  <si>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</si>
  <si>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</si>
  <si>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</si>
  <si>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</si>
  <si>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</si>
  <si>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</si>
  <si>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</si>
  <si>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</si>
  <si>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</si>
  <si>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</si>
  <si>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</si>
  <si>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</si>
  <si>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</si>
  <si>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</si>
  <si>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</si>
  <si>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</si>
  <si>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</si>
  <si>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</si>
  <si>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</si>
  <si>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</si>
  <si>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</si>
  <si>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</si>
  <si>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</si>
  <si>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</si>
  <si>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</si>
  <si>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</si>
  <si>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</si>
  <si>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</si>
  <si>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</si>
  <si>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</si>
  <si>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</si>
  <si>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</si>
  <si>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</si>
  <si>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</si>
  <si>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</si>
  <si>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</si>
  <si>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</si>
  <si>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</si>
  <si>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</si>
  <si>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</si>
  <si>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</si>
  <si>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</si>
  <si>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</si>
  <si>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</si>
  <si>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</si>
  <si>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</si>
  <si>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</si>
  <si>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</si>
  <si>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</si>
  <si>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</si>
  <si>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</si>
  <si>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</si>
  <si>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</si>
  <si>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</si>
  <si>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</si>
  <si>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</si>
  <si>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</si>
  <si>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</si>
  <si>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</si>
  <si>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</si>
  <si>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</si>
  <si>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</si>
  <si>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</si>
  <si>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</si>
  <si>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</si>
  <si>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</si>
  <si>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</si>
  <si>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</si>
  <si>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</si>
  <si>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</si>
  <si>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</si>
  <si>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</si>
  <si>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</si>
  <si>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</si>
  <si>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</si>
  <si>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</si>
  <si>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</si>
  <si>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</si>
  <si>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</si>
  <si>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</si>
  <si>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</si>
  <si>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</si>
  <si>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</si>
  <si>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</si>
  <si>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</si>
  <si>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</si>
  <si>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</si>
  <si>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</si>
  <si>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</si>
  <si>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</si>
  <si>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</si>
  <si>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</si>
  <si>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</si>
  <si>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</si>
  <si>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</si>
  <si>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</si>
  <si>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</si>
  <si>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</si>
  <si>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</si>
  <si>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</si>
  <si>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</si>
  <si>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</si>
  <si>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</si>
  <si>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</si>
  <si>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</si>
  <si>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</si>
  <si>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</si>
  <si>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</si>
  <si>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</si>
  <si>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</si>
  <si>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</si>
  <si>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</si>
  <si>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</si>
  <si>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</si>
  <si>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</si>
  <si>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</si>
  <si>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</si>
  <si>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</si>
  <si>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</si>
  <si>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</si>
  <si>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</si>
  <si>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</si>
  <si>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</si>
  <si>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</si>
  <si>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</si>
  <si>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</si>
  <si>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</si>
  <si>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</si>
  <si>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</si>
  <si>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</si>
  <si>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</si>
  <si>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</si>
  <si>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</si>
  <si>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</si>
  <si>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</si>
  <si>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</si>
  <si>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</si>
  <si>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</si>
  <si>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</si>
  <si>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</si>
  <si>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</si>
  <si>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</si>
  <si>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</si>
  <si>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</si>
  <si>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</si>
  <si>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</si>
  <si>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</si>
  <si>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</si>
  <si>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</si>
  <si>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</si>
  <si>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</si>
  <si>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</si>
  <si>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</si>
  <si>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</si>
  <si>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</si>
  <si>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</si>
  <si>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</si>
  <si>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</si>
  <si>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</si>
  <si>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</si>
  <si>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</si>
  <si>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</si>
  <si>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</si>
  <si>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</si>
  <si>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</si>
  <si>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</si>
  <si>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</si>
  <si>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</si>
  <si>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</si>
  <si>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</si>
  <si>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</si>
  <si>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</si>
  <si>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</si>
  <si>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</si>
  <si>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</si>
  <si>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</si>
  <si>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</si>
  <si>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</si>
  <si>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</si>
  <si>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</si>
  <si>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</si>
  <si>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</si>
  <si>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</si>
  <si>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</si>
  <si>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</si>
  <si>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</si>
  <si>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</si>
  <si>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</si>
  <si>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</si>
  <si>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</si>
  <si>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</si>
  <si>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</si>
  <si>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</si>
  <si>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</si>
  <si>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</si>
  <si>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</si>
  <si>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</si>
  <si>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</si>
  <si>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</si>
  <si>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</si>
  <si>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</si>
  <si>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</si>
  <si>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</si>
  <si>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</si>
  <si>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</si>
  <si>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</si>
  <si>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</si>
  <si>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</si>
  <si>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</si>
  <si>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</si>
  <si>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</si>
  <si>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</si>
  <si>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</si>
  <si>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</si>
  <si>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</si>
  <si>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</si>
  <si>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</si>
  <si>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</si>
  <si>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</si>
  <si>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</si>
  <si>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</si>
  <si>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</si>
  <si>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</si>
  <si>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</si>
  <si>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</si>
  <si>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</si>
  <si>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</si>
  <si>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</si>
  <si>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</si>
  <si>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</si>
  <si>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</si>
  <si>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</si>
  <si>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</si>
  <si>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</si>
  <si>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</si>
  <si>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</si>
  <si>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</si>
  <si>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</si>
  <si>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</si>
  <si>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</si>
  <si>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</si>
  <si>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</si>
  <si>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</si>
  <si>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</si>
  <si>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</si>
  <si>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</si>
  <si>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</si>
  <si>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</si>
  <si>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</si>
  <si>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</si>
  <si>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</si>
  <si>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</si>
  <si>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</si>
  <si>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</si>
  <si>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</si>
  <si>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</si>
  <si>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</si>
  <si>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</si>
  <si>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</si>
  <si>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</si>
  <si>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</si>
  <si>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</si>
  <si>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</si>
  <si>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</si>
  <si>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</si>
  <si>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</si>
  <si>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</si>
  <si>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</si>
  <si>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</si>
  <si>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</si>
  <si>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</si>
  <si>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</si>
  <si>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</si>
  <si>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</si>
  <si>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</si>
  <si>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</si>
  <si>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</si>
  <si>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</si>
  <si>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</si>
  <si>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</si>
  <si>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</si>
  <si>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</si>
  <si>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</si>
  <si>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</si>
  <si>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</si>
  <si>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</si>
  <si>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</si>
  <si>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</si>
  <si>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</si>
  <si>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</si>
  <si>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</si>
  <si>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</si>
  <si>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</si>
  <si>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</si>
  <si>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</si>
  <si>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</si>
  <si>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</si>
  <si>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</si>
  <si>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</si>
  <si>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</si>
  <si>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</si>
  <si>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</si>
  <si>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</si>
  <si>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</si>
  <si>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</si>
  <si>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</si>
  <si>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</si>
  <si>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</si>
  <si>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</si>
  <si>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</si>
  <si>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</si>
  <si>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</si>
  <si>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</si>
  <si>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</si>
  <si>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</si>
  <si>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</si>
  <si>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</si>
  <si>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</si>
  <si>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</si>
  <si>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</si>
  <si>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</si>
  <si>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</si>
  <si>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</si>
  <si>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</si>
  <si>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</si>
  <si>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</si>
  <si>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</si>
  <si>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</si>
  <si>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</si>
  <si>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</si>
  <si>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</si>
  <si>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</si>
  <si>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</si>
  <si>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</si>
  <si>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</si>
  <si>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</si>
  <si>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</si>
  <si>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</si>
  <si>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</si>
  <si>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</si>
  <si>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</si>
  <si>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</si>
  <si>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</si>
  <si>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</si>
  <si>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</si>
  <si>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</si>
  <si>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</si>
  <si>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</si>
  <si>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</si>
  <si>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</si>
  <si>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</si>
  <si>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</si>
  <si>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</si>
  <si>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</si>
  <si>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</si>
  <si>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</si>
  <si>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</si>
  <si>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</si>
  <si>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</si>
  <si>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</si>
  <si>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</si>
  <si>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</si>
  <si>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</si>
  <si>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</si>
  <si>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</si>
  <si>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</si>
  <si>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</si>
  <si>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</si>
  <si>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</si>
  <si>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</si>
  <si>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</si>
  <si>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</si>
  <si>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</si>
  <si>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</si>
  <si>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</si>
  <si>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</si>
  <si>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</si>
  <si>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</si>
  <si>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</si>
  <si>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</si>
  <si>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</si>
  <si>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</si>
  <si>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</si>
  <si>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</si>
  <si>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</si>
  <si>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</si>
  <si>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</si>
  <si>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</si>
  <si>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</si>
  <si>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</si>
  <si>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</si>
  <si>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</si>
  <si>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</si>
  <si>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</si>
  <si>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</si>
  <si>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</si>
  <si>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</si>
  <si>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</si>
  <si>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</si>
  <si>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</si>
  <si>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</si>
  <si>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</si>
  <si>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</si>
  <si>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</si>
  <si>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</si>
  <si>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</si>
  <si>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</si>
  <si>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</si>
  <si>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</si>
  <si>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</si>
  <si>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</si>
  <si>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</si>
  <si>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</si>
  <si>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</si>
  <si>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</si>
  <si>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</si>
  <si>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</si>
  <si>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</si>
  <si>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</si>
  <si>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</si>
  <si>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</si>
  <si>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</si>
  <si>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</si>
  <si>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</si>
  <si>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</si>
  <si>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</si>
  <si>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</si>
  <si>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</si>
  <si>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</si>
  <si>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</si>
  <si>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</si>
  <si>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</si>
  <si>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</si>
  <si>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</si>
  <si>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</si>
  <si>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</si>
  <si>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</si>
  <si>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</si>
  <si>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</si>
  <si>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</si>
  <si>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</si>
  <si>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</si>
  <si>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</si>
  <si>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</si>
  <si>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</si>
  <si>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</si>
  <si>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</si>
  <si>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</si>
  <si>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</si>
  <si>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</si>
  <si>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</si>
  <si>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</si>
  <si>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</si>
  <si>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</si>
  <si>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</si>
  <si>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</si>
  <si>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</si>
  <si>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</si>
  <si>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</si>
  <si>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</si>
  <si>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</si>
  <si>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</si>
  <si>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</si>
  <si>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</si>
  <si>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</si>
  <si>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</si>
  <si>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</si>
  <si>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</si>
  <si>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</si>
  <si>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</si>
  <si>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</si>
  <si>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</si>
  <si>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</si>
  <si>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</si>
  <si>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</si>
  <si>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</si>
  <si>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</si>
  <si>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</si>
  <si>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</si>
  <si>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</si>
  <si>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</si>
  <si>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</si>
  <si>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</si>
  <si>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</si>
  <si>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</si>
  <si>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</si>
  <si>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</si>
  <si>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</si>
  <si>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</si>
  <si>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</si>
  <si>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</si>
  <si>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</si>
  <si>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</si>
  <si>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</si>
  <si>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</si>
  <si>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</si>
  <si>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</si>
  <si>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</si>
  <si>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</si>
  <si>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</si>
  <si>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</si>
  <si>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</si>
  <si>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</si>
  <si>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</si>
  <si>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</si>
  <si>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</si>
  <si>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</si>
  <si>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</si>
  <si>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</si>
  <si>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</si>
  <si>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</si>
  <si>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</si>
  <si>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</si>
  <si>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</si>
  <si>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</si>
  <si>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</si>
  <si>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</si>
  <si>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</si>
  <si>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</si>
  <si>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</si>
  <si>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</si>
  <si>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</si>
  <si>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</si>
  <si>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</si>
  <si>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</si>
  <si>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</si>
  <si>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</si>
  <si>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</si>
  <si>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</si>
  <si>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</si>
  <si>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</si>
  <si>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</si>
  <si>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</si>
  <si>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</si>
  <si>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</si>
  <si>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</si>
  <si>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</si>
  <si>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</si>
  <si>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</si>
  <si>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</si>
  <si>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</si>
  <si>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</si>
  <si>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</si>
  <si>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</si>
  <si>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</si>
  <si>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</si>
  <si>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</si>
  <si>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</si>
  <si>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</si>
  <si>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</si>
  <si>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</si>
  <si>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</si>
  <si>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</si>
  <si>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</si>
  <si>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</si>
  <si>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</si>
  <si>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</si>
  <si>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</si>
  <si>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</si>
  <si>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</si>
  <si>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</si>
  <si>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</si>
  <si>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</si>
  <si>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</si>
  <si>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</si>
  <si>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</si>
  <si>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</si>
  <si>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</si>
  <si>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</si>
  <si>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</si>
  <si>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</si>
  <si>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</si>
  <si>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</si>
  <si>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</si>
  <si>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</si>
  <si>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</si>
  <si>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</si>
  <si>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</si>
  <si>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</si>
  <si>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</si>
  <si>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</si>
  <si>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</si>
  <si>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</si>
  <si>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</si>
  <si>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</si>
  <si>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</si>
  <si>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</si>
  <si>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</si>
  <si>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</si>
  <si>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</si>
  <si>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</si>
  <si>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</si>
  <si>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</si>
  <si>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</si>
  <si>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</si>
  <si>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</si>
  <si>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</si>
  <si>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</si>
  <si>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</si>
  <si>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</si>
  <si>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</si>
  <si>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</si>
  <si>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</si>
  <si>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</si>
  <si>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</si>
  <si>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</si>
  <si>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</si>
  <si>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</si>
  <si>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</si>
  <si>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</si>
  <si>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</si>
  <si>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</si>
  <si>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</si>
  <si>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</si>
  <si>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</si>
  <si>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</si>
  <si>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</si>
  <si>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</si>
  <si>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</si>
  <si>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</si>
  <si>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</si>
  <si>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</si>
  <si>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</si>
  <si>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</si>
  <si>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</si>
  <si>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</si>
  <si>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</si>
  <si>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</si>
  <si>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</si>
  <si>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</si>
  <si>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</si>
  <si>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</si>
  <si>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</si>
  <si>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</si>
  <si>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</si>
  <si>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</si>
  <si>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</si>
  <si>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</si>
  <si>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</si>
  <si>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</si>
  <si>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</si>
  <si>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</si>
  <si>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</si>
  <si>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</si>
  <si>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</si>
  <si>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</si>
  <si>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</si>
  <si>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</si>
  <si>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</si>
  <si>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</si>
  <si>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</si>
  <si>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</si>
  <si>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</si>
  <si>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</si>
  <si>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</si>
  <si>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</si>
  <si>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</si>
  <si>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</si>
  <si>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</si>
  <si>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</si>
  <si>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</si>
  <si>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</si>
  <si>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</si>
  <si>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</si>
  <si>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</si>
  <si>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</si>
  <si>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</si>
  <si>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</si>
  <si>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</si>
  <si>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</si>
  <si>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</si>
  <si>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</si>
  <si>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</si>
  <si>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</si>
  <si>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</si>
  <si>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</si>
  <si>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</si>
  <si>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</si>
  <si>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</si>
  <si>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</si>
  <si>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</si>
  <si>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</si>
  <si>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</si>
  <si>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</si>
  <si>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</si>
  <si>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</si>
  <si>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</si>
  <si>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</si>
  <si>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</si>
  <si>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</si>
  <si>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</si>
  <si>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</si>
  <si>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</si>
  <si>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</si>
  <si>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</si>
  <si>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</si>
  <si>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</si>
  <si>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</si>
  <si>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</si>
  <si>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</si>
  <si>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</si>
  <si>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</si>
  <si>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</si>
  <si>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</si>
  <si>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</si>
  <si>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</si>
  <si>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</si>
  <si>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</si>
  <si>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</si>
  <si>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</si>
  <si>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</si>
  <si>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</si>
  <si>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</si>
  <si>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</si>
  <si>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</si>
  <si>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</si>
  <si>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</si>
  <si>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</si>
  <si>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</si>
  <si>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</si>
  <si>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</si>
  <si>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</si>
  <si>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</si>
  <si>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</si>
  <si>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</si>
  <si>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</si>
  <si>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</si>
  <si>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</si>
  <si>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</si>
  <si>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</si>
  <si>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</si>
  <si>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</si>
  <si>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</si>
  <si>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</si>
  <si>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</si>
  <si>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</si>
  <si>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</si>
  <si>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</si>
  <si>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</si>
  <si>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</si>
  <si>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</si>
  <si>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</si>
  <si>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</si>
  <si>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</si>
  <si>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</si>
  <si>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</si>
  <si>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</si>
  <si>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</si>
  <si>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</si>
  <si>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</si>
  <si>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</si>
  <si>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</si>
  <si>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</si>
  <si>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</si>
  <si>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</si>
  <si>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</si>
  <si>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</si>
  <si>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</si>
  <si>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</si>
  <si>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</si>
  <si>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</si>
  <si>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</si>
  <si>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</si>
  <si>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</si>
  <si>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</si>
  <si>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</si>
  <si>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</si>
  <si>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</si>
  <si>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</si>
  <si>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</si>
  <si>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</si>
  <si>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</si>
  <si>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</si>
  <si>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</si>
  <si>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</si>
  <si>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</si>
  <si>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</si>
  <si>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</si>
  <si>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</si>
  <si>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</si>
  <si>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</si>
  <si>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</si>
  <si>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</si>
  <si>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</si>
  <si>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</si>
  <si>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</si>
  <si>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</si>
  <si>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</si>
  <si>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</si>
  <si>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</si>
  <si>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</si>
  <si>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</si>
  <si>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</si>
  <si>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</si>
  <si>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</si>
  <si>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</si>
  <si>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</si>
  <si>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</si>
  <si>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</si>
  <si>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</si>
  <si>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</si>
  <si>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</si>
  <si>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</si>
  <si>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</si>
  <si>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</si>
  <si>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</si>
  <si>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</si>
  <si>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</si>
  <si>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</si>
  <si>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</si>
  <si>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</si>
  <si>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</si>
  <si>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</si>
  <si>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</si>
  <si>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</si>
  <si>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</si>
  <si>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</si>
  <si>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</si>
  <si>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</si>
  <si>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</si>
  <si>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</si>
  <si>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</si>
  <si>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</si>
  <si>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</si>
  <si>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</si>
  <si>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</si>
  <si>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</si>
  <si>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</si>
  <si>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</si>
  <si>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</si>
  <si>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</si>
  <si>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</si>
  <si>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</si>
  <si>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</si>
  <si>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</si>
  <si>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</si>
  <si>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</si>
  <si>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</si>
  <si>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</si>
  <si>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</si>
  <si>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</si>
  <si>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</si>
  <si>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</si>
  <si>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</si>
  <si>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</si>
  <si>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</si>
  <si>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</si>
  <si>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</si>
  <si>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</si>
  <si>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</si>
  <si>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</si>
  <si>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</si>
  <si>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</si>
  <si>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</si>
  <si>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</si>
  <si>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</si>
  <si>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</si>
  <si>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</si>
  <si>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</si>
  <si>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</si>
  <si>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</si>
  <si>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</si>
  <si>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</si>
  <si>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</si>
  <si>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</si>
  <si>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</si>
  <si>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</si>
  <si>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</si>
  <si>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</si>
  <si>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</si>
  <si>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</si>
  <si>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</si>
  <si>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</si>
  <si>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</si>
  <si>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</si>
  <si>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</si>
  <si>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</si>
  <si>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</si>
  <si>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</si>
  <si>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</si>
  <si>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</si>
  <si>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</si>
  <si>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</si>
  <si>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</si>
  <si>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</si>
  <si>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</si>
  <si>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</si>
  <si>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</si>
  <si>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</si>
  <si>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</si>
  <si>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</si>
  <si>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</si>
  <si>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</si>
  <si>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</si>
  <si>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</si>
  <si>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</si>
  <si>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</si>
  <si>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</si>
  <si>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</si>
  <si>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</si>
  <si>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</si>
  <si>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</si>
  <si>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</si>
  <si>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</si>
  <si>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</si>
  <si>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</si>
  <si>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</si>
  <si>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</si>
  <si>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</si>
  <si>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</si>
  <si>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</si>
  <si>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</si>
  <si>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</si>
  <si>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</si>
  <si>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</si>
  <si>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</si>
  <si>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</si>
  <si>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</si>
  <si>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</si>
  <si>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</si>
  <si>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</si>
  <si>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</si>
  <si>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</si>
  <si>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</si>
  <si>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</si>
  <si>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</si>
  <si>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</si>
  <si>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</si>
  <si>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</si>
  <si>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</si>
  <si>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</si>
  <si>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</si>
  <si>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</si>
  <si>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</si>
  <si>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</si>
  <si>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</si>
  <si>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</si>
  <si>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</si>
  <si>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</si>
  <si>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</si>
  <si>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</si>
  <si>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</si>
  <si>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</si>
  <si>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</si>
  <si>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</si>
  <si>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</si>
  <si>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</si>
  <si>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</si>
  <si>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</si>
  <si>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</si>
  <si>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</si>
  <si>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</si>
  <si>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</si>
  <si>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</si>
  <si>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</si>
  <si>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</si>
  <si>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</si>
  <si>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</si>
  <si>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</si>
  <si>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</si>
  <si>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</si>
  <si>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</si>
  <si>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</si>
  <si>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</si>
  <si>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</si>
  <si>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</si>
  <si>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</si>
  <si>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</si>
  <si>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</si>
  <si>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</si>
  <si>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</si>
  <si>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</si>
  <si>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</si>
  <si>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</si>
  <si>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</si>
  <si>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</si>
  <si>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</si>
  <si>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</si>
  <si>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</si>
  <si>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</si>
  <si>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</si>
  <si>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</si>
  <si>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</si>
  <si>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</si>
  <si>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</si>
  <si>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</si>
  <si>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</si>
  <si>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</si>
  <si>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</si>
  <si>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</si>
  <si>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</si>
  <si>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</si>
  <si>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</si>
  <si>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</si>
  <si>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</si>
  <si>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</si>
  <si>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</si>
  <si>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</si>
  <si>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</si>
  <si>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</si>
  <si>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</si>
  <si>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</si>
  <si>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</si>
  <si>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</si>
  <si>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</si>
  <si>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</si>
  <si>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</si>
  <si>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</si>
  <si>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</si>
  <si>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</si>
  <si>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</si>
  <si>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</si>
  <si>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</si>
  <si>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</si>
  <si>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</si>
  <si>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</si>
  <si>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</si>
  <si>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</si>
  <si>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</si>
  <si>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</si>
  <si>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</si>
  <si>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</si>
  <si>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</si>
  <si>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</si>
  <si>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</si>
  <si>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</si>
  <si>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</si>
  <si>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</si>
  <si>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</si>
  <si>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</si>
  <si>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</si>
  <si>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</si>
  <si>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</si>
  <si>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</si>
  <si>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</si>
  <si>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</si>
  <si>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</si>
  <si>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</si>
  <si>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</si>
  <si>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</si>
  <si>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</si>
  <si>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</si>
  <si>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</si>
  <si>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</si>
  <si>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</si>
  <si>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</si>
  <si>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</si>
  <si>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</si>
  <si>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</si>
  <si>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</si>
  <si>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</si>
  <si>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</si>
  <si>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</si>
  <si>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</si>
  <si>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</si>
  <si>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</si>
  <si>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</si>
  <si>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</si>
  <si>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</si>
  <si>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</si>
  <si>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</si>
  <si>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</si>
  <si>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</si>
  <si>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</si>
  <si>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</si>
  <si>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</si>
  <si>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</si>
  <si>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</si>
  <si>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</si>
  <si>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</si>
  <si>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</si>
  <si>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</si>
  <si>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</si>
  <si>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</si>
  <si>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</si>
  <si>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</si>
  <si>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</si>
  <si>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</si>
  <si>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</si>
  <si>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</si>
  <si>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</si>
  <si>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</si>
  <si>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</si>
  <si>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</si>
  <si>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</si>
  <si>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</si>
  <si>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</si>
  <si>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</si>
  <si>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</si>
  <si>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</si>
  <si>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</si>
  <si>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</si>
  <si>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</si>
  <si>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</si>
  <si>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</si>
  <si>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</si>
  <si>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</si>
  <si>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</si>
  <si>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</si>
  <si>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</si>
  <si>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</si>
  <si>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</si>
  <si>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</si>
  <si>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</si>
  <si>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</si>
  <si>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</si>
  <si>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</si>
  <si>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</si>
  <si>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</si>
  <si>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</si>
  <si>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</si>
  <si>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</si>
  <si>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</si>
  <si>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</si>
  <si>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</si>
  <si>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</si>
  <si>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</si>
  <si>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</si>
  <si>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</si>
  <si>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</si>
  <si>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</si>
  <si>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</si>
  <si>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</si>
  <si>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</si>
  <si>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</si>
  <si>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</si>
  <si>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</si>
  <si>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</si>
  <si>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</si>
  <si>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</si>
  <si>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</si>
  <si>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</si>
  <si>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</si>
  <si>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</si>
  <si>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</si>
  <si>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</si>
  <si>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</si>
  <si>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</si>
  <si>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</si>
  <si>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</si>
  <si>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</si>
  <si>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</si>
  <si>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</si>
  <si>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</si>
  <si>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</si>
  <si>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</si>
  <si>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</si>
  <si>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</si>
  <si>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</si>
  <si>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</si>
  <si>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</si>
  <si>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</si>
  <si>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</si>
  <si>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</si>
  <si>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</si>
  <si>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</si>
  <si>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</si>
  <si>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</si>
  <si>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</si>
  <si>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</si>
  <si>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</si>
  <si>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</si>
  <si>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</si>
  <si>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</si>
  <si>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</si>
  <si>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</si>
  <si>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</si>
  <si>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</si>
  <si>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</si>
  <si>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</si>
  <si>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</si>
  <si>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</si>
  <si>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</si>
  <si>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</si>
  <si>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</si>
  <si>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</si>
  <si>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</si>
  <si>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</si>
  <si>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</si>
  <si>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</si>
  <si>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</si>
  <si>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</si>
  <si>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</si>
  <si>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</si>
  <si>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</si>
  <si>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</si>
  <si>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</si>
  <si>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</si>
  <si>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</si>
  <si>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</si>
  <si>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</si>
  <si>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</si>
  <si>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</si>
  <si>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</si>
  <si>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</si>
  <si>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</si>
  <si>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</si>
  <si>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</si>
  <si>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</si>
  <si>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</si>
  <si>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</si>
  <si>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</si>
  <si>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</si>
  <si>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</si>
  <si>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</si>
  <si>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</si>
  <si>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</si>
  <si>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</si>
  <si>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</si>
  <si>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</si>
  <si>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</si>
  <si>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</si>
  <si>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</si>
  <si>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</si>
  <si>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</si>
  <si>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</si>
  <si>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</si>
  <si>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</si>
  <si>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</si>
  <si>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</si>
  <si>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</si>
  <si>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</si>
  <si>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</si>
  <si>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</si>
  <si>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</si>
  <si>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</si>
  <si>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</si>
  <si>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</si>
  <si>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</si>
  <si>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</si>
  <si>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</si>
  <si>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</si>
  <si>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</si>
  <si>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</si>
  <si>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</si>
  <si>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</si>
  <si>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</si>
  <si>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</si>
  <si>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</si>
  <si>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</si>
  <si>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</si>
  <si>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</si>
  <si>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</si>
  <si>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</si>
  <si>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</si>
  <si>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</si>
  <si>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</si>
  <si>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</si>
  <si>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</si>
  <si>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</si>
  <si>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</si>
  <si>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</si>
  <si>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</si>
  <si>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</si>
  <si>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</si>
  <si>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</si>
  <si>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</si>
  <si>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</si>
  <si>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</si>
  <si>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</si>
  <si>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</si>
  <si>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</si>
  <si>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</si>
  <si>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</si>
  <si>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</si>
  <si>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</si>
  <si>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</si>
  <si>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</si>
  <si>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</si>
  <si>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</si>
  <si>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</si>
  <si>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</si>
  <si>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</si>
  <si>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</si>
  <si>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</si>
  <si>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</si>
  <si>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</si>
  <si>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</si>
  <si>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</si>
  <si>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</si>
  <si>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</si>
  <si>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</si>
  <si>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</si>
  <si>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</si>
  <si>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</si>
  <si>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</si>
  <si>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</si>
  <si>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</si>
  <si>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</si>
  <si>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</si>
  <si>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</si>
  <si>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</si>
  <si>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</si>
  <si>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</si>
  <si>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</si>
  <si>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</si>
  <si>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</si>
  <si>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</si>
  <si>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</si>
  <si>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</si>
  <si>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</si>
  <si>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</si>
  <si>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</si>
  <si>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</si>
  <si>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</si>
  <si>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</si>
  <si>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</si>
  <si>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</si>
  <si>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</si>
  <si>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</si>
  <si>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</si>
  <si>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</si>
  <si>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</si>
  <si>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</si>
  <si>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</si>
  <si>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</si>
  <si>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</si>
  <si>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</si>
  <si>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</si>
  <si>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</si>
  <si>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</si>
  <si>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</si>
  <si>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</si>
  <si>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</si>
  <si>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</si>
  <si>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</si>
  <si>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</si>
  <si>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</si>
  <si>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</si>
  <si>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</si>
  <si>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</si>
  <si>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</si>
  <si>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</si>
  <si>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</si>
  <si>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</si>
  <si>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</si>
  <si>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</si>
  <si>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</si>
  <si>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</si>
  <si>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</si>
  <si>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</si>
  <si>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</si>
  <si>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</si>
  <si>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</si>
  <si>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</si>
  <si>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</si>
  <si>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</si>
  <si>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</si>
  <si>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</si>
  <si>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</si>
  <si>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</si>
  <si>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</si>
  <si>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</si>
  <si>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</si>
  <si>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</si>
  <si>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</si>
  <si>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</si>
  <si>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</si>
  <si>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</si>
  <si>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</si>
  <si>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</si>
  <si>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</si>
  <si>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</si>
  <si>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</si>
  <si>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</si>
  <si>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</si>
  <si>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</si>
  <si>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</si>
  <si>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</si>
  <si>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</si>
  <si>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</si>
  <si>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</si>
  <si>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</si>
  <si>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</si>
  <si>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</si>
  <si>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</si>
  <si>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</si>
  <si>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</si>
  <si>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</si>
  <si>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</si>
  <si>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</si>
  <si>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</si>
  <si>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</si>
  <si>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</si>
  <si>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</si>
  <si>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</si>
  <si>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</si>
  <si>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</si>
  <si>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</si>
  <si>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</si>
  <si>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</si>
  <si>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</si>
  <si>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</si>
  <si>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</si>
  <si>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</si>
  <si>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</si>
  <si>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</si>
  <si>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</si>
  <si>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</si>
  <si>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</si>
  <si>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</si>
  <si>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</si>
  <si>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</si>
  <si>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</si>
  <si>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</si>
  <si>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</si>
  <si>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</si>
  <si>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</si>
  <si>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</si>
  <si>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</si>
  <si>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</si>
  <si>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</si>
  <si>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</si>
  <si>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</si>
  <si>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</si>
  <si>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</si>
  <si>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</si>
  <si>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</si>
  <si>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</si>
  <si>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</si>
  <si>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</si>
  <si>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</si>
  <si>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</si>
  <si>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</si>
  <si>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</si>
  <si>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</si>
  <si>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</si>
  <si>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</si>
  <si>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</si>
  <si>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</si>
  <si>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</si>
  <si>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</si>
  <si>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</si>
  <si>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</si>
  <si>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</si>
  <si>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</si>
  <si>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</si>
  <si>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</si>
  <si>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</si>
  <si>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</si>
  <si>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</si>
  <si>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</si>
  <si>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</si>
  <si>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</si>
  <si>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</si>
  <si>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</si>
  <si>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</si>
  <si>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</si>
  <si>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</si>
  <si>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</si>
  <si>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</si>
  <si>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</si>
  <si>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</si>
  <si>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</si>
  <si>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</si>
  <si>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</si>
  <si>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</si>
  <si>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</si>
  <si>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</si>
  <si>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</si>
  <si>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</si>
  <si>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</si>
  <si>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</si>
  <si>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</si>
  <si>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</si>
  <si>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</si>
  <si>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</si>
  <si>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</si>
  <si>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</si>
  <si>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</si>
  <si>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</si>
  <si>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</si>
  <si>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</si>
  <si>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</si>
  <si>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</si>
  <si>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</si>
  <si>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</si>
  <si>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</si>
  <si>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</si>
  <si>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</si>
  <si>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</si>
  <si>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</si>
  <si>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</si>
  <si>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</si>
  <si>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</si>
  <si>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</si>
  <si>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</si>
  <si>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</si>
  <si>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</si>
  <si>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</si>
  <si>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</si>
  <si>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</si>
  <si>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</si>
  <si>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</si>
  <si>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</si>
  <si>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</si>
  <si>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</si>
  <si>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</si>
  <si>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</si>
  <si>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</si>
  <si>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</si>
  <si>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</si>
  <si>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</si>
  <si>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</si>
  <si>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</si>
  <si>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</si>
  <si>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</si>
  <si>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</si>
  <si>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</si>
  <si>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</si>
  <si>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</si>
  <si>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</si>
  <si>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</si>
  <si>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</si>
  <si>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</si>
  <si>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</si>
  <si>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</si>
  <si>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</si>
  <si>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</si>
  <si>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</si>
  <si>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</si>
  <si>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</si>
  <si>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</si>
  <si>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</si>
  <si>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</si>
  <si>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</si>
  <si>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</si>
  <si>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</si>
  <si>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</si>
  <si>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</si>
  <si>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</si>
  <si>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</si>
  <si>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</si>
  <si>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</si>
  <si>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</si>
  <si>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</si>
  <si>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</si>
  <si>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</si>
  <si>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</si>
  <si>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</si>
  <si>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</si>
  <si>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</si>
  <si>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</si>
  <si>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</si>
  <si>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</si>
  <si>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</si>
  <si>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</si>
  <si>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</si>
  <si>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</si>
  <si>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</si>
  <si>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</si>
  <si>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</si>
  <si>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</si>
  <si>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</si>
  <si>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</si>
  <si>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</si>
  <si>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</si>
  <si>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</si>
  <si>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</si>
  <si>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</si>
  <si>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</si>
  <si>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</si>
  <si>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</si>
  <si>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</si>
  <si>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</si>
  <si>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</si>
  <si>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</si>
  <si>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</si>
  <si>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</si>
  <si>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</si>
  <si>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</si>
  <si>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</si>
  <si>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</si>
  <si>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</si>
  <si>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</si>
  <si>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</si>
  <si>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</si>
  <si>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</si>
  <si>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</si>
  <si>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</si>
  <si>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</si>
  <si>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</si>
  <si>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</si>
  <si>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</si>
  <si>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</si>
  <si>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</si>
  <si>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</si>
  <si>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</si>
  <si>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</si>
  <si>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</si>
  <si>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</si>
  <si>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</si>
  <si>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</si>
  <si>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</si>
  <si>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</si>
  <si>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</si>
  <si>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</si>
  <si>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</si>
  <si>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</si>
  <si>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</si>
  <si>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</si>
  <si>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</si>
  <si>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</si>
  <si>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</si>
  <si>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</si>
  <si>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</si>
  <si>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</si>
  <si>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</si>
  <si>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</si>
  <si>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</si>
  <si>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</si>
  <si>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</si>
  <si>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</si>
  <si>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</si>
  <si>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</si>
  <si>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</si>
  <si>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</si>
  <si>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</si>
  <si>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</si>
  <si>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</si>
  <si>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</si>
  <si>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</si>
  <si>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</si>
  <si>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</si>
  <si>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</si>
  <si>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</si>
  <si>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</si>
  <si>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</si>
  <si>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</si>
  <si>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</si>
  <si>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</si>
  <si>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</si>
  <si>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</si>
  <si>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</si>
  <si>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</si>
  <si>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</si>
  <si>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</si>
  <si>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</si>
  <si>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</si>
  <si>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</si>
  <si>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</si>
  <si>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</si>
  <si>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</si>
  <si>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</si>
  <si>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</si>
  <si>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</si>
  <si>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</si>
  <si>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</si>
  <si>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</si>
  <si>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</si>
  <si>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</si>
  <si>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</si>
  <si>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</si>
  <si>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</si>
  <si>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</si>
  <si>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</si>
  <si>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</si>
  <si>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</si>
  <si>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</si>
  <si>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</si>
  <si>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</si>
  <si>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</si>
  <si>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</si>
  <si>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</si>
  <si>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</si>
  <si>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</si>
  <si>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</si>
  <si>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</si>
  <si>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</si>
  <si>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</si>
  <si>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</si>
  <si>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</si>
  <si>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</si>
  <si>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</si>
  <si>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</si>
  <si>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</si>
  <si>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</si>
  <si>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</si>
  <si>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</si>
  <si>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</si>
  <si>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</si>
  <si>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</si>
  <si>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</si>
  <si>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</si>
  <si>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</si>
  <si>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</si>
  <si>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</si>
  <si>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</si>
  <si>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</si>
  <si>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</si>
  <si>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</si>
  <si>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</si>
  <si>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</si>
  <si>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</si>
  <si>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</si>
  <si>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</si>
  <si>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</si>
  <si>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</si>
  <si>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</si>
  <si>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</si>
  <si>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</si>
  <si>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</si>
  <si>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</si>
  <si>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</si>
  <si>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</si>
  <si>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</si>
  <si>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</si>
  <si>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</si>
  <si>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</si>
  <si>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</si>
  <si>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</si>
  <si>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</si>
  <si>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</si>
  <si>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</si>
  <si>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</si>
  <si>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</si>
  <si>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</si>
  <si>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</si>
  <si>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</si>
  <si>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</si>
  <si>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</si>
  <si>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</si>
  <si>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</si>
  <si>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</si>
  <si>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</si>
  <si>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</si>
  <si>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</si>
  <si>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</si>
  <si>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</si>
  <si>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</si>
  <si>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</si>
  <si>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</si>
  <si>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</si>
  <si>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</si>
  <si>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</si>
  <si>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</si>
  <si>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</si>
  <si>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</si>
  <si>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</si>
  <si>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</si>
  <si>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</si>
  <si>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</si>
  <si>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</si>
  <si>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</si>
  <si>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</si>
  <si>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</si>
  <si>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</si>
  <si>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</si>
  <si>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</si>
  <si>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</si>
  <si>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</si>
  <si>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</si>
  <si>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</si>
  <si>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</si>
  <si>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</si>
  <si>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</si>
  <si>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</si>
  <si>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</si>
  <si>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</si>
  <si>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</si>
  <si>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</si>
  <si>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</si>
  <si>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</si>
  <si>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</si>
  <si>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</si>
  <si>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</si>
  <si>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</si>
  <si>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</si>
  <si>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</si>
  <si>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</si>
  <si>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</si>
  <si>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</si>
  <si>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</si>
  <si>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</si>
  <si>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</si>
  <si>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</si>
  <si>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</si>
  <si>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</si>
  <si>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</si>
  <si>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</si>
  <si>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</si>
  <si>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</si>
  <si>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</si>
  <si>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</si>
  <si>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</si>
  <si>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</si>
  <si>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</si>
  <si>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</si>
  <si>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</si>
  <si>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</si>
  <si>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</si>
  <si>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</si>
  <si>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</si>
  <si>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</si>
  <si>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</si>
  <si>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</si>
  <si>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</si>
  <si>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</si>
  <si>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</si>
  <si>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</si>
  <si>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</si>
  <si>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</si>
  <si>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</si>
  <si>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</si>
  <si>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</si>
  <si>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</si>
  <si>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</si>
  <si>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</si>
  <si>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</si>
  <si>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</si>
  <si>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</si>
  <si>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</si>
  <si>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</si>
  <si>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</si>
  <si>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</si>
  <si>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</si>
  <si>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</si>
  <si>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</si>
  <si>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</si>
  <si>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</si>
  <si>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</si>
  <si>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</si>
  <si>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</si>
  <si>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</si>
  <si>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</si>
  <si>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</si>
  <si>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</si>
  <si>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</si>
  <si>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</si>
  <si>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</si>
  <si>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</si>
  <si>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</si>
  <si>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</si>
  <si>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</si>
  <si>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</si>
  <si>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</si>
  <si>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</si>
  <si>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</si>
  <si>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</si>
  <si>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</si>
  <si>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</si>
  <si>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</si>
  <si>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</si>
  <si>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</si>
  <si>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</si>
  <si>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</si>
  <si>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</si>
  <si>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</si>
  <si>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</si>
  <si>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</si>
  <si>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</si>
  <si>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</si>
  <si>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</si>
  <si>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</si>
  <si>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</si>
  <si>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</si>
  <si>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</si>
  <si>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</si>
  <si>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</si>
  <si>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</si>
  <si>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</si>
  <si>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</si>
  <si>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</si>
  <si>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</si>
  <si>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</si>
  <si>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</si>
  <si>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</si>
  <si>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</si>
  <si>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</si>
  <si>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</si>
  <si>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</si>
  <si>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</si>
  <si>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</si>
  <si>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</si>
  <si>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</si>
  <si>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</si>
  <si>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</si>
  <si>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</si>
  <si>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</si>
  <si>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</si>
  <si>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</si>
  <si>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</si>
  <si>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</si>
  <si>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</si>
  <si>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</si>
  <si>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</si>
  <si>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</si>
  <si>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</si>
  <si>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</si>
  <si>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</si>
  <si>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</si>
  <si>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</si>
  <si>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</si>
  <si>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</si>
  <si>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</si>
  <si>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</si>
  <si>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</si>
  <si>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</si>
  <si>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</si>
  <si>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</si>
  <si>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</si>
  <si>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</si>
  <si>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</si>
  <si>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</si>
  <si>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</si>
  <si>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</si>
  <si>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</si>
  <si>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</si>
  <si>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</si>
  <si>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</si>
  <si>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</si>
  <si>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</si>
  <si>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</si>
  <si>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</si>
  <si>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</si>
  <si>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</si>
  <si>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</si>
  <si>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</si>
  <si>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</si>
  <si>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</si>
  <si>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</si>
  <si>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</si>
  <si>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</si>
  <si>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</si>
  <si>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</si>
  <si>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</si>
  <si>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</si>
  <si>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</si>
  <si>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</si>
  <si>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</si>
  <si>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</si>
  <si>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</si>
  <si>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</si>
  <si>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</si>
  <si>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</si>
  <si>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</si>
  <si>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</si>
  <si>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</si>
  <si>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</si>
  <si>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</si>
  <si>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</si>
  <si>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</si>
  <si>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</si>
  <si>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</si>
  <si>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</si>
  <si>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</si>
  <si>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</si>
  <si>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</si>
  <si>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</si>
  <si>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</si>
  <si>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</si>
  <si>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</si>
  <si>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</si>
  <si>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</si>
  <si>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</si>
  <si>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</si>
  <si>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</si>
  <si>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</si>
  <si>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</si>
  <si>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</si>
  <si>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</si>
  <si>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</si>
  <si>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</si>
  <si>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</si>
  <si>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</si>
  <si>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</si>
  <si>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</si>
  <si>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</si>
  <si>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</si>
  <si>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</si>
  <si>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</si>
  <si>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</si>
  <si>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</si>
  <si>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</si>
  <si>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</si>
  <si>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</si>
  <si>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</si>
  <si>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</si>
  <si>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</si>
  <si>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</si>
  <si>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</si>
  <si>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</si>
  <si>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</si>
  <si>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</si>
  <si>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</si>
  <si>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</si>
  <si>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</si>
  <si>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</si>
  <si>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</si>
  <si>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</si>
  <si>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</si>
  <si>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</si>
  <si>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</si>
  <si>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</si>
  <si>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</si>
  <si>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</si>
  <si>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</si>
  <si>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</si>
  <si>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</si>
  <si>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</si>
  <si>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</si>
  <si>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</si>
  <si>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</si>
  <si>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</si>
  <si>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</si>
  <si>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</si>
  <si>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</si>
  <si>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</si>
  <si>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</si>
  <si>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</si>
  <si>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</si>
  <si>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</si>
  <si>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</si>
  <si>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</si>
  <si>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</si>
  <si>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</si>
  <si>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</si>
  <si>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</si>
  <si>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</si>
  <si>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</si>
  <si>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</si>
  <si>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</si>
  <si>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</si>
  <si>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</si>
  <si>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</si>
  <si>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</si>
  <si>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</si>
  <si>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</si>
  <si>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</si>
  <si>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</si>
  <si>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</si>
  <si>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</si>
  <si>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</si>
  <si>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</si>
  <si>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</si>
  <si>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</si>
  <si>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</si>
  <si>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</si>
  <si>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</si>
  <si>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</si>
  <si>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</si>
  <si>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</si>
  <si>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</si>
  <si>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</si>
  <si>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</si>
  <si>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</si>
  <si>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</si>
  <si>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</si>
  <si>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</si>
  <si>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</si>
  <si>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</si>
  <si>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</si>
  <si>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</si>
  <si>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</si>
  <si>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</si>
  <si>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</si>
  <si>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</si>
  <si>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</si>
  <si>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</si>
  <si>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</si>
  <si>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</si>
  <si>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</si>
  <si>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</si>
  <si>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</si>
  <si>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</si>
  <si>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</si>
  <si>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</si>
  <si>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</si>
  <si>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</si>
  <si>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</si>
  <si>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</si>
  <si>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</si>
  <si>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</si>
  <si>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</si>
  <si>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</si>
  <si>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</si>
  <si>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</si>
  <si>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</si>
  <si>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</si>
  <si>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</si>
  <si>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</si>
  <si>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</si>
  <si>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</si>
  <si>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</si>
  <si>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</si>
  <si>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</si>
  <si>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</si>
  <si>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</si>
  <si>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</si>
  <si>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</si>
  <si>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</si>
  <si>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</si>
  <si>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</si>
  <si>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</si>
  <si>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</si>
  <si>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</si>
  <si>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</si>
  <si>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</si>
  <si>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</si>
  <si>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</si>
  <si>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</si>
  <si>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</si>
  <si>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</si>
  <si>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</si>
  <si>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</si>
  <si>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</si>
  <si>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</si>
  <si>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</si>
  <si>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</si>
  <si>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</si>
  <si>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</si>
  <si>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</si>
  <si>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</si>
  <si>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</si>
  <si>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</si>
  <si>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</si>
  <si>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</si>
  <si>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</si>
  <si>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</si>
  <si>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</si>
  <si>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</si>
  <si>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</si>
  <si>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</si>
  <si>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</si>
  <si>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</si>
  <si>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</si>
  <si>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</si>
  <si>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</si>
  <si>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</si>
  <si>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</si>
  <si>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</si>
  <si>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</si>
  <si>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</si>
  <si>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</si>
  <si>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</si>
  <si>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</si>
  <si>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</si>
  <si>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</si>
  <si>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</si>
  <si>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</si>
  <si>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</si>
  <si>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</si>
  <si>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</si>
  <si>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</si>
  <si>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</si>
  <si>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</si>
  <si>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</si>
  <si>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</si>
  <si>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</si>
  <si>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</si>
  <si>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</si>
  <si>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</si>
  <si>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</si>
  <si>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</si>
  <si>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</si>
  <si>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</si>
  <si>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</si>
  <si>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</si>
  <si>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</si>
  <si>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</si>
  <si>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</si>
  <si>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</si>
  <si>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</si>
  <si>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</si>
  <si>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</si>
  <si>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</si>
  <si>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</si>
  <si>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</si>
  <si>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</si>
  <si>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</si>
  <si>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</si>
  <si>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</si>
  <si>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</si>
  <si>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</si>
  <si>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</si>
  <si>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</si>
  <si>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</si>
  <si>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</si>
  <si>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</si>
  <si>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</si>
  <si>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</si>
  <si>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</si>
  <si>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</si>
  <si>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</si>
  <si>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</si>
  <si>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</si>
  <si>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</si>
  <si>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</si>
  <si>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</si>
  <si>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</si>
  <si>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</si>
  <si>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</si>
  <si>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</si>
  <si>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</si>
  <si>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</si>
  <si>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</si>
  <si>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</si>
  <si>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</si>
  <si>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</si>
  <si>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</si>
  <si>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</si>
  <si>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</si>
  <si>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</si>
  <si>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</si>
  <si>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</si>
  <si>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</si>
  <si>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</si>
  <si>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</si>
  <si>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</si>
  <si>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</si>
  <si>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</si>
  <si>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</si>
  <si>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</si>
  <si>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</si>
  <si>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</si>
  <si>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</si>
  <si>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</si>
  <si>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</si>
  <si>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</si>
  <si>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</si>
  <si>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</si>
  <si>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</si>
  <si>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</si>
  <si>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</si>
  <si>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</si>
  <si>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</si>
  <si>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</si>
  <si>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</si>
  <si>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</si>
  <si>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</si>
  <si>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</si>
  <si>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</si>
  <si>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</si>
  <si>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</si>
  <si>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</si>
  <si>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</si>
  <si>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</si>
  <si>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</si>
  <si>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</si>
  <si>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</si>
  <si>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</si>
  <si>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</si>
  <si>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</si>
  <si>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</si>
  <si>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</si>
  <si>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</si>
  <si>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</si>
  <si>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</si>
  <si>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</si>
  <si>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</si>
  <si>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</si>
  <si>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</si>
  <si>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</si>
  <si>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</si>
  <si>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</si>
  <si>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</si>
  <si>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</si>
  <si>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</si>
  <si>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</si>
  <si>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</si>
  <si>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</si>
  <si>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</si>
  <si>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</si>
  <si>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</si>
  <si>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</si>
  <si>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</si>
  <si>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</si>
  <si>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</si>
  <si>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</si>
  <si>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</si>
  <si>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</si>
  <si>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</si>
  <si>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</si>
  <si>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</si>
  <si>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</si>
  <si>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</si>
  <si>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</si>
  <si>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</si>
  <si>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</si>
  <si>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</si>
  <si>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</si>
  <si>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</si>
  <si>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</si>
  <si>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</si>
  <si>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</si>
  <si>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</si>
  <si>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</si>
  <si>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</si>
  <si>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</si>
  <si>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</si>
  <si>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</si>
  <si>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</si>
  <si>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</si>
  <si>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</si>
  <si>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</si>
  <si>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</si>
  <si>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</si>
  <si>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</si>
  <si>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</si>
  <si>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</si>
  <si>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</si>
  <si>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</si>
  <si>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</si>
  <si>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</si>
  <si>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</si>
  <si>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</si>
  <si>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</si>
  <si>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</si>
  <si>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</si>
  <si>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</si>
  <si>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</si>
  <si>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</si>
  <si>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</si>
  <si>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</si>
  <si>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</si>
  <si>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</si>
  <si>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</si>
  <si>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</si>
  <si>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</si>
  <si>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</si>
  <si>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</si>
  <si>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</si>
  <si>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</si>
  <si>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</si>
  <si>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</si>
  <si>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</si>
  <si>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</si>
  <si>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</si>
  <si>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</si>
  <si>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</si>
  <si>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</si>
  <si>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</si>
  <si>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</si>
  <si>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</si>
  <si>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</si>
  <si>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</si>
  <si>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</si>
  <si>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</si>
  <si>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</si>
  <si>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</si>
  <si>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</si>
  <si>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</si>
  <si>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</si>
  <si>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</si>
  <si>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</si>
  <si>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</si>
  <si>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</si>
  <si>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</si>
  <si>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</si>
  <si>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</si>
  <si>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</si>
  <si>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</si>
  <si>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</si>
  <si>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</si>
  <si>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</si>
  <si>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</si>
  <si>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</si>
  <si>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</si>
  <si>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</si>
  <si>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</si>
  <si>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</si>
  <si>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</si>
  <si>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</si>
  <si>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</si>
  <si>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</si>
  <si>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</si>
  <si>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</si>
  <si>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</si>
  <si>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</si>
  <si>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</si>
  <si>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</si>
  <si>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</si>
  <si>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</si>
  <si>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</si>
  <si>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</si>
  <si>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</si>
  <si>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</si>
  <si>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</si>
  <si>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</si>
  <si>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</si>
  <si>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</si>
  <si>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</si>
  <si>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</si>
  <si>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</si>
  <si>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</si>
  <si>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</si>
  <si>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</si>
  <si>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</si>
  <si>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</si>
  <si>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</si>
  <si>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</si>
  <si>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</si>
  <si>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</si>
  <si>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</si>
  <si>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</si>
  <si>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</si>
  <si>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</si>
  <si>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</si>
  <si>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</si>
  <si>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</si>
  <si>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</si>
  <si>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</si>
  <si>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</si>
  <si>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</si>
  <si>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</si>
  <si>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</si>
  <si>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</si>
  <si>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</si>
  <si>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</si>
  <si>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</si>
  <si>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</si>
  <si>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</si>
  <si>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</si>
  <si>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</si>
  <si>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</si>
  <si>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</si>
  <si>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</si>
  <si>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</si>
  <si>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</si>
  <si>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</si>
  <si>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</si>
  <si>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</si>
  <si>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</si>
  <si>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</si>
  <si>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</si>
  <si>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</si>
  <si>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</si>
  <si>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</si>
  <si>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</si>
  <si>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</si>
  <si>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</si>
  <si>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</si>
  <si>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</si>
  <si>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</si>
  <si>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</si>
  <si>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</si>
  <si>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</si>
  <si>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</si>
  <si>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</si>
  <si>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</si>
  <si>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</si>
  <si>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</si>
  <si>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</si>
  <si>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</si>
  <si>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</si>
  <si>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</si>
  <si>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</si>
  <si>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</si>
  <si>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</si>
  <si>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</si>
  <si>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</si>
  <si>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</si>
  <si>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</si>
  <si>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</si>
  <si>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</si>
  <si>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</si>
  <si>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</si>
  <si>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</si>
  <si>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</si>
  <si>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</si>
  <si>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</si>
  <si>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</si>
  <si>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</si>
  <si>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</si>
  <si>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</si>
  <si>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</si>
  <si>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</si>
  <si>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</si>
  <si>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</si>
  <si>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</si>
  <si>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</si>
  <si>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</si>
  <si>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</si>
  <si>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</si>
  <si>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</si>
  <si>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</si>
  <si>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</si>
  <si>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</si>
  <si>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</si>
  <si>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</si>
  <si>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</si>
  <si>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</si>
  <si>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</si>
  <si>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</si>
  <si>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</si>
  <si>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</si>
  <si>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</si>
  <si>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</si>
  <si>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</si>
  <si>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</si>
  <si>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</si>
  <si>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</si>
  <si>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</si>
  <si>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</si>
  <si>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</si>
  <si>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</si>
  <si>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</si>
  <si>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</si>
  <si>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</si>
  <si>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</si>
  <si>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</si>
  <si>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</si>
  <si>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</si>
  <si>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</si>
  <si>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</si>
  <si>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</si>
  <si>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</si>
  <si>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</si>
  <si>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</si>
  <si>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</si>
  <si>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</si>
  <si>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</si>
  <si>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</si>
  <si>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</si>
  <si>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</si>
  <si>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</si>
  <si>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</si>
  <si>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</si>
  <si>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</si>
  <si>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</si>
  <si>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</si>
  <si>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</si>
  <si>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</si>
  <si>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</si>
  <si>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</si>
  <si>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</si>
  <si>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</si>
  <si>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</si>
  <si>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</si>
  <si>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</si>
  <si>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</si>
  <si>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</si>
  <si>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</si>
  <si>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</si>
  <si>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</si>
  <si>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</si>
  <si>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</si>
  <si>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</si>
  <si>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</si>
  <si>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</si>
  <si>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</si>
  <si>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</si>
  <si>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</si>
  <si>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</si>
  <si>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</si>
  <si>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</si>
  <si>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</si>
  <si>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</si>
  <si>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</si>
  <si>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</si>
  <si>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</si>
  <si>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</si>
  <si>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</si>
  <si>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</si>
  <si>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</si>
  <si>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</si>
  <si>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</si>
  <si>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</si>
  <si>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</si>
  <si>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</si>
  <si>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</si>
  <si>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</si>
  <si>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</si>
  <si>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</si>
  <si>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</si>
  <si>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</si>
  <si>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</si>
  <si>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</si>
  <si>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</si>
  <si>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</si>
  <si>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</si>
  <si>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</si>
  <si>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</si>
  <si>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</si>
  <si>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</si>
  <si>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</si>
  <si>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</si>
  <si>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</si>
  <si>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</si>
  <si>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</si>
  <si>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</si>
  <si>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</si>
  <si>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</si>
  <si>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</si>
  <si>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</si>
  <si>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</si>
  <si>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</si>
  <si>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</si>
  <si>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</si>
  <si>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</si>
  <si>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</si>
  <si>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</si>
  <si>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</si>
  <si>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</si>
  <si>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</si>
  <si>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</si>
  <si>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</si>
  <si>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</si>
  <si>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</si>
  <si>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</si>
  <si>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</si>
  <si>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</si>
  <si>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</si>
  <si>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</si>
  <si>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</si>
  <si>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</si>
  <si>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</si>
  <si>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</si>
  <si>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</si>
  <si>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</si>
  <si>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</si>
  <si>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</si>
  <si>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</si>
  <si>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</si>
  <si>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</si>
  <si>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</si>
  <si>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</si>
  <si>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</si>
  <si>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</si>
  <si>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</si>
  <si>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</si>
  <si>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</si>
  <si>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</si>
  <si>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</si>
  <si>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</si>
  <si>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</si>
  <si>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</si>
  <si>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</si>
  <si>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</si>
  <si>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</si>
  <si>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</si>
  <si>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</si>
  <si>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</si>
  <si>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</si>
  <si>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</si>
  <si>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</si>
  <si>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</si>
  <si>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</si>
  <si>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</si>
  <si>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</si>
  <si>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</si>
  <si>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</si>
  <si>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</si>
  <si>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</si>
  <si>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</si>
  <si>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</si>
  <si>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</si>
  <si>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</si>
  <si>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</si>
  <si>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</si>
  <si>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</si>
  <si>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</si>
  <si>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</si>
  <si>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</si>
  <si>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</si>
  <si>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</si>
  <si>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</si>
  <si>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</si>
  <si>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</si>
  <si>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</si>
  <si>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</si>
  <si>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</si>
  <si>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</si>
  <si>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</si>
  <si>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</si>
  <si>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</si>
  <si>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</si>
  <si>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</si>
  <si>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</si>
  <si>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</si>
  <si>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</si>
  <si>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</si>
  <si>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</si>
  <si>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</si>
  <si>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</si>
  <si>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</si>
  <si>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</si>
  <si>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</si>
  <si>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</si>
  <si>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</si>
  <si>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</si>
  <si>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</si>
  <si>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</si>
  <si>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</si>
  <si>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</si>
  <si>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</si>
  <si>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</si>
  <si>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</si>
  <si>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</si>
  <si>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</si>
  <si>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</si>
  <si>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</si>
  <si>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</si>
  <si>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</si>
  <si>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</si>
  <si>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</si>
  <si>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</si>
  <si>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</si>
  <si>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</si>
  <si>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</si>
  <si>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</si>
  <si>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</si>
  <si>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</si>
  <si>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</si>
  <si>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</si>
  <si>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</si>
  <si>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</si>
  <si>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</si>
  <si>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</si>
  <si>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</si>
  <si>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</si>
  <si>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</si>
  <si>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</si>
  <si>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</si>
  <si>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</si>
  <si>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</si>
  <si>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</si>
  <si>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</si>
  <si>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</si>
  <si>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</si>
  <si>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</si>
  <si>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</si>
  <si>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</si>
  <si>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</si>
  <si>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</si>
  <si>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</si>
  <si>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</si>
  <si>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</si>
  <si>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</si>
  <si>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</si>
  <si>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</si>
  <si>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</si>
  <si>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</si>
  <si>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</si>
  <si>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</si>
  <si>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</si>
  <si>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</si>
  <si>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</si>
  <si>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</si>
  <si>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</si>
  <si>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</si>
  <si>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</si>
  <si>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</si>
  <si>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</si>
  <si>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</si>
  <si>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</si>
  <si>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</si>
  <si>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</si>
  <si>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</si>
  <si>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</si>
  <si>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</si>
  <si>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</si>
  <si>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</si>
  <si>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</si>
  <si>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</si>
  <si>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</si>
  <si>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</si>
  <si>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</si>
  <si>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</si>
  <si>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</si>
  <si>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</si>
  <si>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</si>
  <si>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</si>
  <si>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</si>
  <si>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</si>
  <si>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</si>
  <si>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</si>
  <si>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</si>
  <si>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</si>
  <si>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</si>
  <si>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</si>
  <si>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</si>
  <si>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</si>
  <si>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</si>
  <si>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</si>
  <si>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</si>
  <si>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</si>
  <si>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</si>
  <si>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</si>
  <si>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</si>
  <si>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</si>
  <si>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</si>
  <si>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</si>
  <si>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</si>
  <si>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</si>
  <si>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</si>
  <si>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</si>
  <si>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</si>
  <si>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</si>
  <si>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</si>
  <si>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</si>
  <si>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</si>
  <si>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</si>
  <si>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</si>
  <si>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</si>
  <si>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</si>
  <si>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</si>
  <si>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</si>
  <si>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</si>
  <si>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</si>
  <si>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</si>
  <si>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</si>
  <si>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</si>
  <si>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</si>
  <si>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</si>
  <si>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</si>
  <si>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</si>
  <si>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</si>
  <si>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</si>
  <si>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</si>
  <si>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</si>
  <si>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</si>
  <si>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</si>
  <si>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</si>
  <si>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</si>
  <si>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</si>
  <si>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</si>
  <si>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</si>
  <si>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</si>
  <si>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</si>
  <si>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</si>
  <si>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</si>
  <si>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</si>
  <si>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</si>
  <si>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</si>
  <si>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</si>
  <si>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</si>
  <si>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</si>
  <si>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</si>
  <si>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</si>
  <si>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</si>
  <si>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</si>
  <si>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</si>
  <si>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</si>
  <si>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</si>
  <si>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</si>
  <si>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</si>
  <si>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</si>
  <si>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</si>
  <si>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</si>
  <si>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</si>
  <si>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</si>
  <si>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</si>
  <si>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</si>
  <si>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</si>
  <si>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</si>
  <si>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</si>
  <si>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</si>
  <si>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</si>
  <si>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</si>
  <si>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</si>
  <si>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</si>
  <si>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</si>
  <si>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</si>
  <si>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</si>
  <si>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</si>
  <si>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</si>
  <si>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</si>
  <si>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</si>
  <si>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</si>
  <si>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</si>
  <si>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</si>
  <si>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</si>
  <si>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</si>
  <si>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</si>
  <si>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</si>
  <si>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</si>
  <si>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</si>
  <si>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</si>
  <si>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</si>
  <si>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</si>
  <si>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</si>
  <si>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</si>
  <si>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</si>
  <si>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</si>
  <si>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</si>
  <si>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</si>
  <si>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</si>
  <si>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</si>
  <si>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</si>
  <si>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</si>
  <si>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</si>
  <si>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</si>
  <si>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</si>
  <si>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</si>
  <si>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</si>
  <si>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</si>
  <si>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</si>
  <si>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</si>
  <si>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</si>
  <si>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</si>
  <si>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</si>
  <si>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</si>
  <si>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</si>
  <si>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</si>
  <si>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</si>
  <si>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</si>
  <si>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</si>
  <si>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</si>
  <si>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</si>
  <si>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</si>
  <si>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</si>
  <si>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</si>
  <si>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</si>
  <si>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</si>
  <si>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</si>
  <si>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</si>
  <si>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</si>
  <si>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</si>
  <si>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</si>
  <si>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</si>
  <si>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</si>
  <si>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</si>
  <si>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</si>
  <si>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</si>
  <si>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</si>
  <si>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</si>
  <si>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</si>
  <si>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</si>
  <si>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</si>
  <si>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</si>
  <si>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</si>
  <si>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</si>
  <si>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</si>
  <si>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</si>
  <si>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</si>
  <si>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</si>
  <si>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</si>
  <si>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</si>
  <si>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</si>
  <si>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</si>
  <si>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</si>
  <si>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</si>
  <si>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</si>
  <si>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</si>
  <si>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</si>
  <si>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</si>
  <si>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</si>
  <si>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</si>
  <si>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</si>
  <si>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</si>
  <si>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</si>
  <si>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</si>
  <si>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</si>
  <si>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</si>
  <si>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</si>
  <si>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</si>
  <si>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</si>
  <si>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</si>
  <si>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</si>
  <si>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</si>
  <si>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</si>
  <si>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</si>
  <si>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</si>
  <si>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</si>
  <si>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</si>
  <si>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</si>
  <si>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</si>
  <si>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</si>
  <si>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</si>
  <si>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</si>
  <si>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</si>
  <si>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</si>
  <si>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</si>
  <si>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</si>
  <si>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</si>
  <si>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</si>
  <si>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</si>
  <si>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</si>
  <si>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</si>
  <si>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</si>
  <si>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</si>
  <si>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</si>
  <si>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</si>
  <si>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</si>
  <si>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</si>
  <si>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</si>
  <si>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</si>
  <si>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</si>
  <si>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</si>
  <si>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</si>
  <si>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</si>
  <si>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</si>
  <si>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</si>
  <si>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</si>
  <si>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</si>
  <si>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</si>
  <si>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</si>
  <si>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</si>
  <si>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</si>
  <si>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</si>
  <si>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</si>
  <si>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</si>
  <si>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</si>
  <si>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</si>
  <si>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</si>
  <si>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</si>
  <si>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</si>
  <si>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</si>
  <si>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</si>
  <si>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</si>
  <si>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</si>
  <si>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</si>
  <si>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</si>
  <si>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</si>
  <si>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</si>
  <si>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</si>
  <si>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</si>
  <si>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</si>
  <si>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</si>
  <si>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</si>
  <si>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</si>
  <si>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</si>
  <si>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</si>
  <si>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</si>
  <si>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</si>
  <si>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</si>
  <si>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</si>
  <si>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</si>
  <si>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</si>
  <si>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</si>
  <si>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</si>
  <si>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</si>
  <si>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</si>
  <si>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</si>
  <si>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</si>
  <si>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</si>
  <si>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</si>
  <si>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</si>
  <si>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</si>
  <si>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</si>
  <si>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</si>
  <si>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</si>
  <si>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</si>
  <si>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</si>
  <si>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</si>
  <si>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</si>
  <si>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</si>
  <si>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</si>
  <si>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</si>
  <si>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</si>
  <si>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</si>
  <si>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</si>
  <si>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</si>
  <si>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</si>
  <si>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</si>
  <si>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</si>
  <si>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</si>
  <si>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</si>
  <si>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</si>
  <si>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</si>
  <si>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</si>
  <si>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</si>
  <si>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</si>
  <si>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</si>
  <si>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</si>
  <si>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</si>
  <si>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</si>
  <si>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</si>
  <si>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</si>
  <si>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</si>
  <si>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</si>
  <si>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</si>
  <si>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</si>
  <si>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</si>
  <si>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</si>
  <si>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</si>
  <si>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</si>
  <si>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</si>
  <si>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</si>
  <si>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</si>
  <si>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</si>
  <si>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</si>
  <si>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</si>
  <si>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</si>
  <si>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</si>
  <si>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</si>
  <si>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</si>
  <si>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</si>
  <si>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</si>
  <si>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</si>
  <si>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</si>
  <si>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</si>
  <si>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</si>
  <si>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</si>
  <si>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</si>
  <si>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</si>
  <si>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</si>
  <si>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</si>
  <si>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</si>
  <si>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</si>
  <si>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</si>
  <si>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</si>
  <si>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</si>
  <si>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</si>
  <si>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</si>
  <si>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</si>
  <si>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</si>
  <si>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</si>
  <si>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</si>
  <si>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</si>
  <si>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</si>
  <si>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</si>
  <si>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</si>
  <si>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</si>
  <si>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</si>
  <si>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</si>
  <si>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</si>
  <si>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</si>
  <si>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</si>
  <si>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</si>
  <si>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</si>
  <si>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</si>
  <si>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</si>
  <si>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</si>
  <si>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</si>
  <si>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</si>
  <si>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</si>
  <si>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</si>
  <si>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</si>
  <si>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</si>
  <si>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</si>
  <si>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</si>
  <si>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</si>
  <si>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</si>
  <si>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</si>
  <si>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</si>
  <si>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</si>
  <si>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</si>
  <si>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</si>
  <si>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</si>
  <si>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</si>
  <si>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</si>
  <si>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</si>
  <si>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</si>
  <si>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</si>
  <si>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</si>
  <si>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</si>
  <si>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</si>
  <si>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</si>
  <si>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</si>
  <si>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</si>
  <si>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</si>
  <si>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</si>
  <si>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</si>
  <si>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</si>
  <si>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</si>
  <si>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</si>
  <si>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</si>
  <si>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</si>
  <si>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</si>
  <si>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</si>
  <si>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</si>
  <si>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</si>
  <si>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</si>
  <si>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</si>
  <si>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</si>
  <si>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</si>
  <si>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</si>
  <si>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</si>
  <si>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</si>
  <si>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</si>
  <si>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</si>
  <si>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</si>
  <si>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</si>
  <si>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</si>
  <si>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</si>
  <si>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</si>
  <si>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</si>
  <si>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</si>
  <si>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</si>
  <si>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</si>
  <si>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</si>
  <si>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</si>
  <si>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</si>
  <si>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</si>
  <si>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</si>
  <si>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</si>
  <si>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</si>
  <si>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</si>
  <si>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</si>
  <si>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</si>
  <si>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</si>
  <si>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</si>
  <si>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</si>
  <si>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</si>
  <si>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</si>
  <si>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</si>
  <si>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</si>
  <si>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</si>
  <si>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</si>
  <si>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</si>
  <si>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</si>
  <si>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</si>
  <si>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</si>
  <si>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</si>
  <si>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</si>
  <si>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</si>
  <si>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</si>
  <si>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</si>
  <si>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</si>
  <si>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</si>
  <si>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</si>
  <si>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</si>
  <si>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</si>
  <si>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</si>
  <si>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</si>
  <si>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</si>
  <si>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</si>
  <si>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</si>
  <si>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</si>
  <si>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</si>
  <si>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</si>
  <si>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</si>
  <si>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</si>
  <si>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</si>
  <si>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</si>
  <si>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</si>
  <si>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</si>
  <si>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</si>
  <si>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</si>
  <si>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</si>
  <si>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</si>
  <si>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</si>
  <si>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</si>
  <si>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</si>
  <si>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</si>
  <si>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</si>
  <si>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</si>
  <si>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</si>
  <si>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</si>
  <si>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</si>
  <si>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</si>
  <si>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</si>
  <si>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</si>
  <si>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</si>
  <si>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</si>
  <si>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</si>
  <si>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</si>
  <si>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</si>
  <si>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</si>
  <si>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</si>
  <si>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</si>
  <si>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</si>
  <si>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</si>
  <si>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</si>
  <si>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</si>
  <si>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</si>
  <si>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</si>
  <si>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</si>
  <si>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</si>
  <si>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</si>
  <si>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</si>
  <si>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</si>
  <si>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</si>
  <si>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</si>
  <si>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</si>
  <si>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</si>
  <si>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</si>
  <si>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</si>
  <si>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</si>
  <si>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</si>
  <si>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</si>
  <si>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</si>
  <si>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</si>
  <si>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</si>
  <si>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</si>
  <si>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</si>
  <si>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</si>
  <si>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</si>
  <si>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</si>
  <si>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</si>
  <si>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</si>
  <si>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</si>
  <si>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</si>
  <si>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</si>
  <si>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</si>
  <si>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</si>
  <si>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</si>
  <si>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</si>
  <si>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</si>
  <si>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</si>
  <si>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</si>
  <si>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</si>
  <si>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</si>
  <si>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</si>
  <si>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</si>
  <si>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</si>
  <si>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</si>
  <si>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</si>
  <si>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</si>
  <si>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</si>
  <si>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</si>
  <si>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</si>
  <si>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</si>
  <si>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</si>
  <si>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</si>
  <si>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</si>
  <si>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</si>
  <si>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</si>
  <si>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</si>
  <si>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</si>
  <si>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</si>
  <si>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</si>
  <si>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</si>
  <si>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</si>
  <si>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</si>
  <si>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</si>
  <si>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</si>
  <si>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</si>
  <si>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</si>
  <si>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</si>
  <si>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</si>
  <si>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</si>
  <si>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</si>
  <si>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</si>
  <si>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</si>
  <si>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</si>
  <si>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</si>
  <si>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</si>
  <si>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</si>
  <si>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</si>
  <si>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</si>
  <si>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</si>
  <si>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</si>
  <si>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</si>
  <si>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</si>
  <si>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</si>
  <si>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</si>
  <si>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</si>
  <si>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</si>
  <si>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</si>
  <si>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</si>
  <si>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</si>
  <si>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</si>
  <si>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</si>
  <si>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</si>
  <si>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</si>
  <si>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</si>
  <si>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</si>
  <si>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</si>
  <si>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</si>
  <si>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</si>
  <si>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</si>
  <si>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</si>
  <si>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</si>
  <si>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</si>
  <si>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</si>
  <si>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</si>
  <si>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</si>
  <si>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</si>
  <si>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</si>
  <si>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</si>
  <si>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</si>
  <si>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</si>
  <si>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</si>
  <si>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</si>
  <si>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</si>
  <si>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</si>
  <si>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</si>
  <si>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</si>
  <si>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</si>
  <si>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</si>
  <si>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</si>
  <si>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</si>
  <si>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</si>
  <si>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</si>
  <si>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</si>
  <si>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</si>
  <si>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</si>
  <si>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</si>
  <si>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</si>
  <si>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</si>
  <si>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</si>
  <si>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</si>
  <si>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</si>
  <si>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</si>
  <si>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</si>
  <si>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</si>
  <si>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</si>
  <si>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</si>
  <si>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</si>
  <si>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</si>
  <si>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</si>
  <si>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</si>
  <si>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</si>
  <si>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</si>
  <si>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</si>
  <si>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</si>
  <si>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</si>
  <si>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</si>
  <si>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</si>
  <si>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</si>
  <si>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</si>
  <si>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</si>
  <si>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</si>
  <si>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</si>
  <si>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</si>
  <si>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</si>
  <si>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</si>
  <si>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</si>
  <si>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</si>
  <si>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</si>
  <si>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</si>
  <si>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</si>
  <si>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</si>
  <si>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</si>
  <si>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</si>
  <si>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</si>
  <si>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</si>
  <si>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</si>
  <si>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</si>
  <si>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</si>
  <si>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</si>
  <si>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</si>
  <si>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</si>
  <si>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</si>
  <si>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</si>
  <si>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</si>
  <si>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</si>
  <si>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</si>
  <si>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</si>
  <si>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</si>
  <si>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</si>
  <si>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</si>
  <si>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</si>
  <si>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</si>
  <si>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</si>
  <si>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</si>
  <si>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</si>
  <si>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</si>
  <si>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</si>
  <si>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</si>
  <si>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</si>
  <si>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</si>
  <si>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</si>
  <si>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</si>
  <si>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</si>
  <si>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</si>
  <si>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</si>
  <si>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</si>
  <si>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</si>
  <si>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</si>
  <si>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</si>
  <si>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</si>
  <si>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</si>
  <si>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</si>
  <si>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</si>
  <si>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</si>
  <si>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</si>
  <si>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</si>
  <si>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</si>
  <si>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</si>
  <si>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</si>
  <si>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</si>
  <si>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</si>
  <si>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</si>
  <si>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</si>
  <si>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</si>
  <si>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</si>
  <si>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</si>
  <si>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</si>
  <si>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</si>
  <si>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</si>
  <si>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</si>
  <si>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</si>
  <si>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</si>
  <si>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</si>
  <si>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</si>
  <si>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</si>
  <si>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</si>
  <si>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</si>
  <si>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</si>
  <si>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</si>
  <si>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</si>
  <si>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</si>
  <si>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</si>
  <si>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</si>
  <si>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</si>
  <si>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</si>
  <si>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</si>
  <si>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</si>
  <si>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</si>
  <si>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</si>
  <si>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</si>
  <si>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</si>
  <si>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</si>
  <si>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</si>
  <si>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</si>
  <si>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</si>
  <si>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</si>
  <si>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</si>
  <si>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</si>
  <si>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</si>
  <si>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</si>
  <si>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</si>
  <si>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</si>
  <si>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</si>
  <si>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</si>
  <si>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</si>
  <si>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</si>
  <si>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</si>
  <si>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</si>
  <si>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</si>
  <si>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</si>
  <si>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</si>
  <si>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</si>
  <si>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</si>
  <si>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</si>
  <si>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</si>
  <si>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</si>
  <si>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</si>
  <si>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</si>
  <si>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</si>
  <si>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</si>
  <si>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</si>
  <si>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</si>
  <si>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</si>
  <si>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</si>
  <si>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</si>
  <si>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</si>
  <si>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</si>
  <si>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</si>
  <si>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</si>
  <si>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</si>
  <si>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</si>
  <si>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</si>
  <si>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</si>
  <si>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</si>
  <si>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</si>
  <si>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</si>
  <si>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</si>
  <si>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</si>
  <si>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</si>
  <si>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</si>
  <si>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</si>
  <si>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</si>
  <si>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</si>
  <si>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</si>
  <si>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</si>
  <si>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</si>
  <si>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</si>
  <si>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</si>
  <si>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</si>
  <si>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</si>
  <si>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</si>
  <si>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</si>
  <si>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</si>
  <si>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</si>
  <si>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</si>
  <si>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</si>
  <si>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</si>
  <si>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</si>
  <si>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</si>
  <si>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</si>
  <si>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</si>
  <si>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</si>
  <si>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</si>
  <si>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</si>
  <si>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</si>
  <si>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</si>
  <si>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</si>
  <si>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</si>
  <si>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</si>
  <si>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</si>
  <si>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</si>
  <si>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</si>
  <si>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</si>
  <si>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</si>
  <si>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</si>
  <si>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</si>
  <si>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</si>
  <si>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</si>
  <si>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</si>
  <si>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</si>
  <si>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</si>
  <si>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</si>
  <si>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</si>
  <si>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</si>
  <si>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</si>
  <si>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</si>
  <si>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</si>
  <si>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</si>
  <si>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</si>
  <si>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</si>
  <si>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</si>
  <si>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</si>
  <si>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</si>
  <si>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</si>
  <si>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</si>
  <si>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</si>
  <si>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</si>
  <si>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</si>
  <si>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</si>
  <si>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</si>
  <si>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</si>
  <si>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</si>
  <si>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</si>
  <si>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</si>
  <si>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</si>
  <si>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</si>
  <si>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</si>
  <si>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</si>
  <si>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</si>
  <si>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</si>
  <si>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</si>
  <si>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</si>
  <si>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</si>
  <si>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</si>
  <si>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</si>
  <si>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</si>
  <si>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</si>
  <si>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</si>
  <si>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</si>
  <si>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</si>
  <si>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</si>
  <si>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</si>
  <si>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</si>
  <si>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</si>
  <si>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</si>
  <si>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</si>
  <si>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</si>
  <si>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</si>
  <si>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</si>
  <si>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</si>
  <si>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</si>
  <si>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</si>
  <si>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</si>
  <si>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</si>
  <si>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</si>
  <si>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</si>
  <si>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</si>
  <si>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</si>
  <si>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</si>
  <si>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</si>
  <si>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</si>
  <si>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</si>
  <si>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</si>
  <si>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</si>
  <si>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</si>
  <si>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</si>
  <si>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</si>
  <si>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</si>
  <si>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</si>
  <si>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</si>
  <si>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</si>
  <si>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</si>
  <si>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</si>
  <si>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</si>
  <si>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</si>
  <si>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</si>
  <si>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</si>
  <si>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</si>
  <si>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</si>
  <si>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</si>
  <si>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</si>
  <si>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</si>
  <si>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</si>
  <si>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</si>
  <si>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</si>
  <si>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</si>
  <si>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</si>
  <si>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</si>
  <si>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</si>
  <si>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</si>
  <si>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</si>
  <si>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</si>
  <si>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</si>
  <si>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</si>
  <si>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</si>
  <si>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</si>
  <si>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</si>
  <si>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</si>
  <si>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</si>
  <si>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</si>
  <si>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</si>
  <si>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</si>
  <si>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</si>
  <si>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</si>
  <si>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</si>
  <si>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</si>
  <si>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</si>
  <si>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</si>
  <si>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</si>
  <si>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</si>
  <si>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</si>
  <si>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</si>
  <si>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</si>
  <si>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</si>
  <si>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</si>
  <si>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</si>
  <si>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</si>
  <si>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</si>
  <si>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</si>
  <si>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</si>
  <si>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</si>
  <si>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</si>
  <si>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</si>
  <si>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</si>
  <si>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</si>
  <si>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</si>
  <si>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</si>
  <si>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</si>
  <si>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</si>
  <si>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</si>
  <si>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</si>
  <si>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</si>
  <si>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</si>
  <si>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</si>
  <si>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</si>
  <si>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</si>
  <si>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</si>
  <si>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</si>
  <si>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</si>
  <si>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</si>
  <si>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</si>
  <si>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</si>
  <si>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</si>
  <si>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</si>
  <si>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</si>
  <si>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</si>
  <si>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</si>
  <si>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</si>
  <si>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</si>
  <si>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</si>
  <si>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</si>
  <si>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</si>
  <si>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</si>
  <si>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</si>
  <si>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</si>
  <si>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</si>
  <si>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</si>
  <si>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</si>
  <si>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</si>
  <si>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</si>
  <si>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</si>
  <si>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</si>
  <si>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</si>
  <si>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</si>
  <si>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</si>
  <si>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</si>
  <si>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</si>
  <si>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</si>
  <si>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</si>
  <si>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</si>
  <si>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</si>
  <si>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</si>
  <si>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</si>
  <si>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</si>
  <si>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</si>
  <si>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</si>
  <si>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</si>
  <si>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</si>
  <si>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</si>
  <si>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</si>
  <si>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</si>
  <si>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</si>
  <si>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</si>
  <si>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</si>
  <si>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</si>
  <si>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</si>
  <si>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</si>
  <si>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</si>
  <si>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</si>
  <si>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</si>
  <si>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</si>
  <si>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</si>
  <si>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</si>
  <si>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</si>
  <si>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</si>
  <si>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</si>
  <si>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</si>
  <si>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</si>
  <si>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</si>
  <si>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</si>
  <si>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</si>
  <si>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</si>
  <si>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</si>
  <si>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</si>
  <si>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</si>
  <si>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</si>
  <si>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</si>
  <si>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</si>
  <si>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</si>
  <si>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</si>
  <si>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</si>
  <si>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</si>
  <si>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</si>
  <si>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</si>
  <si>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</si>
  <si>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</si>
  <si>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</si>
  <si>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</si>
  <si>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</si>
  <si>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</si>
  <si>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</si>
  <si>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</si>
  <si>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</si>
  <si>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</si>
  <si>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</si>
  <si>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</si>
  <si>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</si>
  <si>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</si>
  <si>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</si>
  <si>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</si>
  <si>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</si>
  <si>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</si>
  <si>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</si>
  <si>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</si>
  <si>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</si>
  <si>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</si>
  <si>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</si>
  <si>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</si>
  <si>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</si>
  <si>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</si>
  <si>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</si>
  <si>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</si>
  <si>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</si>
  <si>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</si>
  <si>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</si>
  <si>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</si>
  <si>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</si>
  <si>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</si>
  <si>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</si>
  <si>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</si>
  <si>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</si>
  <si>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</si>
  <si>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</si>
  <si>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</si>
  <si>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</si>
  <si>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</si>
  <si>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</si>
  <si>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</si>
  <si>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</si>
  <si>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</si>
  <si>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</si>
  <si>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</si>
  <si>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</si>
  <si>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</si>
  <si>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</si>
  <si>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</si>
  <si>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</si>
  <si>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</si>
  <si>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</si>
  <si>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</si>
  <si>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</si>
  <si>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</si>
  <si>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</si>
  <si>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</si>
  <si>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</si>
  <si>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</si>
  <si>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</si>
  <si>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</si>
  <si>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</si>
  <si>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</si>
  <si>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</si>
  <si>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</si>
  <si>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</si>
  <si>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</si>
  <si>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</si>
  <si>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</si>
  <si>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</si>
  <si>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</si>
  <si>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</si>
  <si>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</si>
  <si>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</si>
  <si>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</si>
  <si>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</si>
  <si>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</si>
  <si>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</si>
  <si>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</si>
  <si>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</si>
  <si>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</si>
  <si>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</si>
  <si>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</si>
  <si>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</si>
  <si>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</si>
  <si>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</si>
  <si>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</si>
  <si>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</si>
  <si>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</si>
  <si>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</si>
  <si>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</si>
  <si>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</si>
  <si>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</si>
  <si>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</si>
  <si>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</si>
  <si>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</si>
  <si>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</si>
  <si>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</si>
  <si>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</si>
  <si>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</si>
  <si>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</si>
  <si>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</si>
  <si>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</si>
  <si>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</si>
  <si>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</si>
  <si>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</si>
  <si>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</si>
  <si>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</si>
  <si>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</si>
  <si>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</si>
  <si>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</si>
  <si>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</si>
  <si>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</si>
  <si>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</si>
  <si>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</si>
  <si>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</si>
  <si>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</si>
  <si>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</si>
  <si>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</si>
  <si>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</si>
  <si>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</si>
  <si>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</si>
  <si>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</si>
  <si>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</si>
  <si>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</si>
  <si>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</si>
  <si>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</si>
  <si>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</si>
  <si>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</si>
  <si>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</si>
  <si>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</si>
  <si>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</si>
  <si>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</si>
  <si>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</si>
  <si>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</si>
  <si>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</si>
  <si>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</si>
  <si>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</si>
  <si>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</si>
  <si>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</si>
  <si>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</si>
  <si>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</si>
  <si>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</si>
  <si>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</si>
  <si>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</si>
  <si>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</si>
  <si>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</si>
  <si>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</si>
  <si>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</si>
  <si>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</si>
  <si>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</si>
  <si>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</si>
  <si>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</si>
  <si>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</si>
  <si>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</si>
  <si>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</si>
  <si>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</si>
  <si>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</si>
  <si>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</si>
  <si>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</si>
  <si>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</si>
  <si>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</si>
  <si>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</si>
  <si>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</si>
  <si>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</si>
  <si>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</si>
  <si>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</si>
  <si>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</si>
  <si>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</si>
  <si>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</si>
  <si>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</si>
  <si>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</si>
  <si>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</si>
  <si>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</si>
  <si>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</si>
  <si>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</si>
  <si>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</si>
  <si>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</si>
  <si>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</si>
  <si>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</si>
  <si>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</si>
  <si>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</si>
  <si>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</si>
  <si>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</si>
  <si>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</si>
  <si>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</si>
  <si>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</si>
  <si>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</si>
  <si>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</si>
  <si>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</si>
  <si>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</si>
  <si>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</si>
  <si>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</si>
  <si>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</si>
  <si>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</si>
  <si>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</si>
  <si>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</si>
  <si>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</si>
  <si>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</si>
  <si>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</si>
  <si>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</si>
  <si>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</si>
  <si>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</si>
  <si>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</si>
  <si>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</si>
  <si>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</si>
  <si>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</si>
  <si>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</si>
  <si>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</si>
  <si>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</si>
  <si>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</si>
  <si>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</si>
  <si>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</si>
  <si>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</si>
  <si>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</si>
  <si>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</si>
  <si>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</si>
  <si>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</si>
  <si>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</si>
  <si>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</si>
  <si>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</si>
  <si>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</si>
  <si>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</si>
  <si>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</si>
  <si>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</si>
  <si>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</si>
  <si>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</si>
  <si>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</si>
  <si>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</si>
  <si>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</si>
  <si>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</si>
  <si>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</si>
  <si>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</si>
  <si>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</si>
  <si>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</si>
  <si>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</si>
  <si>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</si>
  <si>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</si>
  <si>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</si>
  <si>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</si>
  <si>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</si>
  <si>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</si>
  <si>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</si>
  <si>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</si>
  <si>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</si>
  <si>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</si>
  <si>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</si>
  <si>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</si>
  <si>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</si>
  <si>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</si>
  <si>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</si>
  <si>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</si>
  <si>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</si>
  <si>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</si>
  <si>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</si>
  <si>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</si>
  <si>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</si>
  <si>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</si>
  <si>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</si>
  <si>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</si>
  <si>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</si>
  <si>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</si>
  <si>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</si>
  <si>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</si>
  <si>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</si>
  <si>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</si>
  <si>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</si>
  <si>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</si>
  <si>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</si>
  <si>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</si>
  <si>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</si>
  <si>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</si>
  <si>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</si>
  <si>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</si>
  <si>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</si>
  <si>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</si>
  <si>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</si>
  <si>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</si>
  <si>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</si>
  <si>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</si>
  <si>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</si>
  <si>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</si>
  <si>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</si>
  <si>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</si>
  <si>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</si>
  <si>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</si>
  <si>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</si>
  <si>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</si>
  <si>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</si>
  <si>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</si>
  <si>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</si>
  <si>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</si>
  <si>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</si>
  <si>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</si>
  <si>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</si>
  <si>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</si>
  <si>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</si>
  <si>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</si>
  <si>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</si>
  <si>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</si>
  <si>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</si>
  <si>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</si>
  <si>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</si>
  <si>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</si>
  <si>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</si>
  <si>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</si>
  <si>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</si>
  <si>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</si>
  <si>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</si>
  <si>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</si>
  <si>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</si>
  <si>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</si>
  <si>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</si>
  <si>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</si>
  <si>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</si>
  <si>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</si>
  <si>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</si>
  <si>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</si>
  <si>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</si>
  <si>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</si>
  <si>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</si>
  <si>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</si>
  <si>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</si>
  <si>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</si>
  <si>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</si>
  <si>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</si>
  <si>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</si>
  <si>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</si>
  <si>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</si>
  <si>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</si>
  <si>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</si>
  <si>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</si>
  <si>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</si>
  <si>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</si>
  <si>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</si>
  <si>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</si>
  <si>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</si>
  <si>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</si>
  <si>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</si>
  <si>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</si>
  <si>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</si>
  <si>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</si>
  <si>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</si>
  <si>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</si>
  <si>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</si>
  <si>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</si>
  <si>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</si>
  <si>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</si>
  <si>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</si>
  <si>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</si>
  <si>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</si>
  <si>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</si>
  <si>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</si>
  <si>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</si>
  <si>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</si>
  <si>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</si>
  <si>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</si>
  <si>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</si>
  <si>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</si>
  <si>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</si>
  <si>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</si>
  <si>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</si>
  <si>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</si>
  <si>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</si>
  <si>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</si>
  <si>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</si>
  <si>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</si>
  <si>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</si>
  <si>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</si>
  <si>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</si>
  <si>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</si>
  <si>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</si>
  <si>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</si>
  <si>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</si>
  <si>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</si>
  <si>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</si>
  <si>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</si>
  <si>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</si>
  <si>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</si>
  <si>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</si>
  <si>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</si>
  <si>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</si>
  <si>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</si>
  <si>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</si>
  <si>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</si>
  <si>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</si>
  <si>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</si>
  <si>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</si>
  <si>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</si>
  <si>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</si>
  <si>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</si>
  <si>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</si>
  <si>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</si>
  <si>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</si>
  <si>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</si>
  <si>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</si>
  <si>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</si>
  <si>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</si>
  <si>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</si>
  <si>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</si>
  <si>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</si>
  <si>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</si>
  <si>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</si>
  <si>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</si>
  <si>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</si>
  <si>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</si>
  <si>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</si>
  <si>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</si>
  <si>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</si>
  <si>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</si>
  <si>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</si>
  <si>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</si>
  <si>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</si>
  <si>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</si>
  <si>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</si>
  <si>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</si>
  <si>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</si>
  <si>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</si>
  <si>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</si>
  <si>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</si>
  <si>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</si>
  <si>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</si>
  <si>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</si>
  <si>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</si>
  <si>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</si>
  <si>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</si>
  <si>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</si>
  <si>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</si>
  <si>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</si>
  <si>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</si>
  <si>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</si>
  <si>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</si>
  <si>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</si>
  <si>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</si>
  <si>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</si>
  <si>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</si>
  <si>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</si>
  <si>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</si>
  <si>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</si>
  <si>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</si>
  <si>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</si>
  <si>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</si>
  <si>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</si>
  <si>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</si>
  <si>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</si>
  <si>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</si>
  <si>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</si>
  <si>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</si>
  <si>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</si>
  <si>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</si>
  <si>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</si>
  <si>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</si>
  <si>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</si>
  <si>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</si>
  <si>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</si>
  <si>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</si>
  <si>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</si>
  <si>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</si>
  <si>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</si>
  <si>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</si>
  <si>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</si>
  <si>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</si>
  <si>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</si>
  <si>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</si>
  <si>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</si>
  <si>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</si>
  <si>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</si>
  <si>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</si>
  <si>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</si>
  <si>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</si>
  <si>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</si>
  <si>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</si>
  <si>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</si>
  <si>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</si>
  <si>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</si>
  <si>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</si>
  <si>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</si>
  <si>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</si>
  <si>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</si>
  <si>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</si>
  <si>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</si>
  <si>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</si>
  <si>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</si>
  <si>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</si>
  <si>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</si>
  <si>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</si>
  <si>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</si>
  <si>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</si>
  <si>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</si>
  <si>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</si>
  <si>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</si>
  <si>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</si>
  <si>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</si>
  <si>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</si>
  <si>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</si>
  <si>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</si>
  <si>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</si>
  <si>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</si>
  <si>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</si>
  <si>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</si>
  <si>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</si>
  <si>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</si>
  <si>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</si>
  <si>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</si>
  <si>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</si>
  <si>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</si>
  <si>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</si>
  <si>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</si>
  <si>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</si>
  <si>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</si>
  <si>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</si>
  <si>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</si>
  <si>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</si>
  <si>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</si>
  <si>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</si>
  <si>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</si>
  <si>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</si>
  <si>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</si>
  <si>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</si>
  <si>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</si>
  <si>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</si>
  <si>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</si>
  <si>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</si>
  <si>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</si>
  <si>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</si>
  <si>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</si>
  <si>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</si>
  <si>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</si>
  <si>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</si>
  <si>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</si>
  <si>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</si>
  <si>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</si>
  <si>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</si>
  <si>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</si>
  <si>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</si>
  <si>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</si>
  <si>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</si>
  <si>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</si>
  <si>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</si>
  <si>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</si>
  <si>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</si>
  <si>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</si>
  <si>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</si>
  <si>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</si>
  <si>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</si>
  <si>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</si>
  <si>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</si>
  <si>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</si>
  <si>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</si>
  <si>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</si>
  <si>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</si>
  <si>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</si>
  <si>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</si>
  <si>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</si>
  <si>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</si>
  <si>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</si>
  <si>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</si>
  <si>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</si>
  <si>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</si>
  <si>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</si>
  <si>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</si>
  <si>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</si>
  <si>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</si>
  <si>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</si>
  <si>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</si>
  <si>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</si>
  <si>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</si>
  <si>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</si>
  <si>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</si>
  <si>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</si>
  <si>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</si>
  <si>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</si>
  <si>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</si>
  <si>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</si>
  <si>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</si>
  <si>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</si>
  <si>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</si>
  <si>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</si>
  <si>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</si>
  <si>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</si>
  <si>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</si>
  <si>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</si>
  <si>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</si>
  <si>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</si>
  <si>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</si>
  <si>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</si>
  <si>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</si>
  <si>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</si>
  <si>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</si>
  <si>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</si>
  <si>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</si>
  <si>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</si>
  <si>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</si>
  <si>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</si>
  <si>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</si>
  <si>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</si>
  <si>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</si>
  <si>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</si>
  <si>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</si>
  <si>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</si>
  <si>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</si>
  <si>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</si>
  <si>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</si>
  <si>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</si>
  <si>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</si>
  <si>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</si>
  <si>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</si>
  <si>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</si>
  <si>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</si>
  <si>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</si>
  <si>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</si>
  <si>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</si>
  <si>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</si>
  <si>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</si>
  <si>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</si>
  <si>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</si>
  <si>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</si>
  <si>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</si>
  <si>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</si>
  <si>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</si>
  <si>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</si>
  <si>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</si>
  <si>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</si>
  <si>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</si>
  <si>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</si>
  <si>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</si>
  <si>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</si>
  <si>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</si>
  <si>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</si>
  <si>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</si>
  <si>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</si>
  <si>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</si>
  <si>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</si>
  <si>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</si>
  <si>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</si>
  <si>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</si>
  <si>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</si>
  <si>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</si>
  <si>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</si>
  <si>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</si>
  <si>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</si>
  <si>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</si>
  <si>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</si>
  <si>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</si>
  <si>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</si>
  <si>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</si>
  <si>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</si>
  <si>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</si>
  <si>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</si>
  <si>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</si>
  <si>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</si>
  <si>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</si>
  <si>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</si>
  <si>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</si>
  <si>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</si>
  <si>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</si>
  <si>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</si>
  <si>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</si>
  <si>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</si>
  <si>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</si>
  <si>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</si>
  <si>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</si>
  <si>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</si>
  <si>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</si>
  <si>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</si>
  <si>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</si>
  <si>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</si>
  <si>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</si>
  <si>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</si>
  <si>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</si>
  <si>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</si>
  <si>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</si>
  <si>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</si>
  <si>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</si>
  <si>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</si>
  <si>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</si>
  <si>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</si>
  <si>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</si>
  <si>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</si>
  <si>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</si>
  <si>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</si>
  <si>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</si>
  <si>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</si>
  <si>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</si>
  <si>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</si>
  <si>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</si>
  <si>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</si>
  <si>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</si>
  <si>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</si>
  <si>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</si>
  <si>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</si>
  <si>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</si>
  <si>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</si>
  <si>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</si>
  <si>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</si>
  <si>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</si>
  <si>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</si>
  <si>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</si>
  <si>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</si>
  <si>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</si>
  <si>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</si>
  <si>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</si>
  <si>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</si>
  <si>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</si>
  <si>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</si>
  <si>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</si>
  <si>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</si>
  <si>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</si>
  <si>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</si>
  <si>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</si>
  <si>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</si>
  <si>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</si>
  <si>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</si>
  <si>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</si>
  <si>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</si>
  <si>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</si>
  <si>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</si>
  <si>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</si>
  <si>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</si>
  <si>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</si>
  <si>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</si>
  <si>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</si>
  <si>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</si>
  <si>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</si>
  <si>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</si>
  <si>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</si>
  <si>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</si>
  <si>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</si>
  <si>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</si>
  <si>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</si>
  <si>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</si>
  <si>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</si>
  <si>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</si>
  <si>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</si>
  <si>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</si>
  <si>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</si>
  <si>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</si>
  <si>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</si>
  <si>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</si>
  <si>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</si>
  <si>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</si>
  <si>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</si>
  <si>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</si>
  <si>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</si>
  <si>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</si>
  <si>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</si>
  <si>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</si>
  <si>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</si>
  <si>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</si>
  <si>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</si>
  <si>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</si>
  <si>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</si>
  <si>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</si>
  <si>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</si>
  <si>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</si>
  <si>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</si>
  <si>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</si>
  <si>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</si>
  <si>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</si>
  <si>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</si>
  <si>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</si>
  <si>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</si>
  <si>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</si>
  <si>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</si>
  <si>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</si>
  <si>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</si>
  <si>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</si>
  <si>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</si>
  <si>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</si>
  <si>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</si>
  <si>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</si>
  <si>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</si>
  <si>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</si>
  <si>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</si>
  <si>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</si>
  <si>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</si>
  <si>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</si>
  <si>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</si>
  <si>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</si>
  <si>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</si>
  <si>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</si>
  <si>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</si>
  <si>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</si>
  <si>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</si>
  <si>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</si>
  <si>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</si>
  <si>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</si>
  <si>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</si>
  <si>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</si>
  <si>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</si>
  <si>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</si>
  <si>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</si>
  <si>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</si>
  <si>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</si>
  <si>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</si>
  <si>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</si>
  <si>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</si>
  <si>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</si>
  <si>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</si>
  <si>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</si>
  <si>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</si>
  <si>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</si>
  <si>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</si>
  <si>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</si>
  <si>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</si>
  <si>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</si>
  <si>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</si>
  <si>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</si>
  <si>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</si>
  <si>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</si>
  <si>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</si>
  <si>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</si>
  <si>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</si>
  <si>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</si>
  <si>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</si>
  <si>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</si>
  <si>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</si>
  <si>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</si>
  <si>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</si>
  <si>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</si>
  <si>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</si>
  <si>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</si>
  <si>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</si>
  <si>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</si>
  <si>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</si>
  <si>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</si>
  <si>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</si>
  <si>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</si>
  <si>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</si>
  <si>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</si>
  <si>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</si>
  <si>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</si>
  <si>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</si>
  <si>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</si>
  <si>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</si>
  <si>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</si>
  <si>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</si>
  <si>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</si>
  <si>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</si>
  <si>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</si>
  <si>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</si>
  <si>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</si>
  <si>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</si>
  <si>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</si>
  <si>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</si>
  <si>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</si>
  <si>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</si>
  <si>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</si>
  <si>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</si>
  <si>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</si>
  <si>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</si>
  <si>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</si>
  <si>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</si>
  <si>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</si>
  <si>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</si>
  <si>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</si>
  <si>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</si>
  <si>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</si>
  <si>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</si>
  <si>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</si>
  <si>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</si>
  <si>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</si>
  <si>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</si>
  <si>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</si>
  <si>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</si>
  <si>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</si>
  <si>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</si>
  <si>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</si>
  <si>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</si>
  <si>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</si>
  <si>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</si>
  <si>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</si>
  <si>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</si>
  <si>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</si>
  <si>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</si>
  <si>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</si>
  <si>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</si>
  <si>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</si>
  <si>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</si>
  <si>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</si>
  <si>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</si>
  <si>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</si>
  <si>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</si>
  <si>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</si>
  <si>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</si>
  <si>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</si>
  <si>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</si>
  <si>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</si>
  <si>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</si>
  <si>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</si>
  <si>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</si>
  <si>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</si>
  <si>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</si>
  <si>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</si>
  <si>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</si>
  <si>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</si>
  <si>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</si>
  <si>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</si>
  <si>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</si>
  <si>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</si>
  <si>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</si>
  <si>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</si>
  <si>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</si>
  <si>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</si>
  <si>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</si>
  <si>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</si>
  <si>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</si>
  <si>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</si>
  <si>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</si>
  <si>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</si>
  <si>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</si>
  <si>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</si>
  <si>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</si>
  <si>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</si>
  <si>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</si>
  <si>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</si>
  <si>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</si>
  <si>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</si>
  <si>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</si>
  <si>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</si>
  <si>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</si>
  <si>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</si>
  <si>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</si>
  <si>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</si>
  <si>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</si>
  <si>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</si>
  <si>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</si>
  <si>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</si>
  <si>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</si>
  <si>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</si>
  <si>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</si>
  <si>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</si>
  <si>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</si>
  <si>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</si>
  <si>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</si>
  <si>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</si>
  <si>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</si>
  <si>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</si>
  <si>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</si>
  <si>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</si>
  <si>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</si>
  <si>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</si>
  <si>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</si>
  <si>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</si>
  <si>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</si>
  <si>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</si>
  <si>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</si>
  <si>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</si>
  <si>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</si>
  <si>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</si>
  <si>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</si>
  <si>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</si>
  <si>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</si>
  <si>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</si>
  <si>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</si>
  <si>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</si>
  <si>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</si>
  <si>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</si>
  <si>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</si>
  <si>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</si>
  <si>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</si>
  <si>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</si>
  <si>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</si>
  <si>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</si>
  <si>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</si>
  <si>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</si>
  <si>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</si>
  <si>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</si>
  <si>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</si>
  <si>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</si>
  <si>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</si>
  <si>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</si>
  <si>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</si>
  <si>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</si>
  <si>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</si>
  <si>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</si>
  <si>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</si>
  <si>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</si>
  <si>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</si>
  <si>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</si>
  <si>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</si>
  <si>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</si>
  <si>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</si>
  <si>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</si>
  <si>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</si>
  <si>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</si>
  <si>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</si>
  <si>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</si>
  <si>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</si>
  <si>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</si>
  <si>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</si>
  <si>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</si>
  <si>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</si>
  <si>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</si>
  <si>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</si>
  <si>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</si>
  <si>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</si>
  <si>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</si>
  <si>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</si>
  <si>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</si>
  <si>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</si>
  <si>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</si>
  <si>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</si>
  <si>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</si>
  <si>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</si>
  <si>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</si>
  <si>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</si>
  <si>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</si>
  <si>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</si>
  <si>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</si>
  <si>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</si>
  <si>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</si>
  <si>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</si>
  <si>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</si>
  <si>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</si>
  <si>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</si>
  <si>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</si>
  <si>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</si>
  <si>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</si>
  <si>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</si>
  <si>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</si>
  <si>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</si>
  <si>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</si>
  <si>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</si>
  <si>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</si>
  <si>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</si>
  <si>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</si>
  <si>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</si>
  <si>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</si>
  <si>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</si>
  <si>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</si>
  <si>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</si>
  <si>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</si>
  <si>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</si>
  <si>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</si>
  <si>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</si>
  <si>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</si>
  <si>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</si>
  <si>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</si>
  <si>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</si>
  <si>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</si>
  <si>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</si>
  <si>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</si>
  <si>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</si>
  <si>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</si>
  <si>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</si>
  <si>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</si>
  <si>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</si>
  <si>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</si>
  <si>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</si>
  <si>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</si>
  <si>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</si>
  <si>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</si>
  <si>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</si>
  <si>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</si>
  <si>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</si>
  <si>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</si>
  <si>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</si>
  <si>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</si>
  <si>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</si>
  <si>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</si>
  <si>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</si>
  <si>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</si>
  <si>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</si>
  <si>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</si>
  <si>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</si>
  <si>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</si>
  <si>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</si>
  <si>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</si>
  <si>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</si>
  <si>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</si>
  <si>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</si>
  <si>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</si>
  <si>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</si>
  <si>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</si>
  <si>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</si>
  <si>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</si>
  <si>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</si>
  <si>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</si>
  <si>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</si>
  <si>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</si>
  <si>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</si>
  <si>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</si>
  <si>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</si>
  <si>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</si>
  <si>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</si>
  <si>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</si>
  <si>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</si>
  <si>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</si>
  <si>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</si>
  <si>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</si>
  <si>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</si>
  <si>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</si>
  <si>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</si>
  <si>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</si>
  <si>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</si>
  <si>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</si>
  <si>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</si>
  <si>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</si>
  <si>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</si>
  <si>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</si>
  <si>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</si>
  <si>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</si>
  <si>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</si>
  <si>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</si>
  <si>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</si>
  <si>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</si>
  <si>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</si>
  <si>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</si>
  <si>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</si>
  <si>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</si>
  <si>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</si>
  <si>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</si>
  <si>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</si>
  <si>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</si>
  <si>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</si>
  <si>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</si>
  <si>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</si>
  <si>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</si>
  <si>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</si>
  <si>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</si>
  <si>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</si>
  <si>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</si>
  <si>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</si>
  <si>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</si>
  <si>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</si>
  <si>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</si>
  <si>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</si>
  <si>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</si>
  <si>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</si>
  <si>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</si>
  <si>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</si>
  <si>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</si>
  <si>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</si>
  <si>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</si>
  <si>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</si>
  <si>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</si>
  <si>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</si>
  <si>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</si>
  <si>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</si>
  <si>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</si>
  <si>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</si>
  <si>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</si>
  <si>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</si>
  <si>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</si>
  <si>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</si>
  <si>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</si>
  <si>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</si>
  <si>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</si>
  <si>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</si>
  <si>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</si>
  <si>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</si>
  <si>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</si>
  <si>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</si>
  <si>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</si>
  <si>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</si>
  <si>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</si>
  <si>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</si>
  <si>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</si>
  <si>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</si>
  <si>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</si>
  <si>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</si>
  <si>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</si>
  <si>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</si>
  <si>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</si>
  <si>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</si>
  <si>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</si>
  <si>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</si>
  <si>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</si>
  <si>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</si>
  <si>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</si>
  <si>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</si>
  <si>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</si>
  <si>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</si>
  <si>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</si>
  <si>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</si>
  <si>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</si>
  <si>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</si>
  <si>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</si>
  <si>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</si>
  <si>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</si>
  <si>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</si>
  <si>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</si>
  <si>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</si>
  <si>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</si>
  <si>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</si>
  <si>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</si>
  <si>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</si>
  <si>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</si>
  <si>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</si>
  <si>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</si>
  <si>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</si>
  <si>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</si>
  <si>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</si>
  <si>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</si>
  <si>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</si>
  <si>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</si>
  <si>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</si>
  <si>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</si>
  <si>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</si>
  <si>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</si>
  <si>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</si>
  <si>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</si>
  <si>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</si>
  <si>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</si>
  <si>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</si>
  <si>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</si>
  <si>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</si>
  <si>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</si>
  <si>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</si>
  <si>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</si>
  <si>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</si>
  <si>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</si>
  <si>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</si>
  <si>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</si>
  <si>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</si>
  <si>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</si>
  <si>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</si>
  <si>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</si>
  <si>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</si>
  <si>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</si>
  <si>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</si>
  <si>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</si>
  <si>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</si>
  <si>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</si>
  <si>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</si>
  <si>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</si>
  <si>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</si>
  <si>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</si>
  <si>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</si>
  <si>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</si>
  <si>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</si>
  <si>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</si>
  <si>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</si>
  <si>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</si>
  <si>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</si>
  <si>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</si>
  <si>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</si>
  <si>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</si>
  <si>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</si>
  <si>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</si>
  <si>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</si>
  <si>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</si>
  <si>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</si>
  <si>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</si>
  <si>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</si>
  <si>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</si>
  <si>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</si>
  <si>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</si>
  <si>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</si>
  <si>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</si>
  <si>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</si>
  <si>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</si>
  <si>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</si>
  <si>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</si>
  <si>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</si>
  <si>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</si>
  <si>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</si>
  <si>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</si>
  <si>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</si>
  <si>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</si>
  <si>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</si>
  <si>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</si>
  <si>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</si>
  <si>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</si>
  <si>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</si>
  <si>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</si>
  <si>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</si>
  <si>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</si>
  <si>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</si>
  <si>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</si>
  <si>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</si>
  <si>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</si>
  <si>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</si>
  <si>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</si>
  <si>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</si>
  <si>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</si>
  <si>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</si>
  <si>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</si>
  <si>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</si>
  <si>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</si>
  <si>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</si>
  <si>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</si>
  <si>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</si>
  <si>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</si>
  <si>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</si>
  <si>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</si>
  <si>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</si>
  <si>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</si>
  <si>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</si>
  <si>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</si>
  <si>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</si>
  <si>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</si>
  <si>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</si>
  <si>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</si>
  <si>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</si>
  <si>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</si>
  <si>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</si>
  <si>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</si>
  <si>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</si>
  <si>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</si>
  <si>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</si>
  <si>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</si>
  <si>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</si>
  <si>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</si>
  <si>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</si>
  <si>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</si>
  <si>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</si>
  <si>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</si>
  <si>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</si>
  <si>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</si>
  <si>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</si>
  <si>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</si>
  <si>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</si>
  <si>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</si>
  <si>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</si>
  <si>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</si>
  <si>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</si>
  <si>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</si>
  <si>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</si>
  <si>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</si>
  <si>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</si>
  <si>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</si>
  <si>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</si>
  <si>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</si>
  <si>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</si>
  <si>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</si>
  <si>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</si>
  <si>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</si>
  <si>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</si>
  <si>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</si>
  <si>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</si>
  <si>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</si>
  <si>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</si>
  <si>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</si>
  <si>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</si>
  <si>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</si>
  <si>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</si>
  <si>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</si>
  <si>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</si>
  <si>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</si>
  <si>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</si>
  <si>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</si>
  <si>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</si>
  <si>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</si>
  <si>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</si>
  <si>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</si>
  <si>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</si>
  <si>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</si>
  <si>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</si>
  <si>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</si>
  <si>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</si>
  <si>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</si>
  <si>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</si>
  <si>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</si>
  <si>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</si>
  <si>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</si>
  <si>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</si>
  <si>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</si>
  <si>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</si>
  <si>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</si>
  <si>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</si>
  <si>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</si>
  <si>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</si>
  <si>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</si>
  <si>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</si>
  <si>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</si>
  <si>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</si>
  <si>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</si>
  <si>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</si>
  <si>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</si>
  <si>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</si>
  <si>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</si>
  <si>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</si>
  <si>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</si>
  <si>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</si>
  <si>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</si>
  <si>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</si>
  <si>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</si>
  <si>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</si>
  <si>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</si>
  <si>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</si>
  <si>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</si>
  <si>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</si>
  <si>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</si>
  <si>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</si>
  <si>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</si>
  <si>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</si>
  <si>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</si>
  <si>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</si>
  <si>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</si>
  <si>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</si>
  <si>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</si>
  <si>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</si>
  <si>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</si>
  <si>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</si>
  <si>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</si>
  <si>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</si>
  <si>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</si>
  <si>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</si>
  <si>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</si>
  <si>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</si>
  <si>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</si>
  <si>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</si>
  <si>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</si>
  <si>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</si>
  <si>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</si>
  <si>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</si>
  <si>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</si>
  <si>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</si>
  <si>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</si>
  <si>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</si>
  <si>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</si>
  <si>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</si>
  <si>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</si>
  <si>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</si>
  <si>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</si>
  <si>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</si>
  <si>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</si>
  <si>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</si>
  <si>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</si>
  <si>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</si>
  <si>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</si>
  <si>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</si>
  <si>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</si>
  <si>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</si>
  <si>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</si>
  <si>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</si>
  <si>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</si>
  <si>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</si>
  <si>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</si>
  <si>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</si>
  <si>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</si>
  <si>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</si>
  <si>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</si>
  <si>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</si>
  <si>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</si>
  <si>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</si>
  <si>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</si>
  <si>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</si>
  <si>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</si>
  <si>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</si>
  <si>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</si>
  <si>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</si>
  <si>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</si>
  <si>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</si>
  <si>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</si>
  <si>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</si>
  <si>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</si>
  <si>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</si>
  <si>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</si>
  <si>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</si>
  <si>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</si>
  <si>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</si>
  <si>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</si>
  <si>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</si>
  <si>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</si>
  <si>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</si>
  <si>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</si>
  <si>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</si>
  <si>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</si>
  <si>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</si>
  <si>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</si>
  <si>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</si>
  <si>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</si>
  <si>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</si>
  <si>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</si>
  <si>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</si>
  <si>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</si>
  <si>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</si>
  <si>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</si>
  <si>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</si>
  <si>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</si>
  <si>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</si>
  <si>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</si>
  <si>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</si>
  <si>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</si>
  <si>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</si>
  <si>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</si>
  <si>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</si>
  <si>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</si>
  <si>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</si>
  <si>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</si>
  <si>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</si>
  <si>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</si>
  <si>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</si>
  <si>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</si>
  <si>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</si>
  <si>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</si>
  <si>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</si>
  <si>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</si>
  <si>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</si>
  <si>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</si>
  <si>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</si>
  <si>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</si>
  <si>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</si>
  <si>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</si>
  <si>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</si>
  <si>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</si>
  <si>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</si>
  <si>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</si>
  <si>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</si>
  <si>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</si>
  <si>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</si>
  <si>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</si>
  <si>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</si>
  <si>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</si>
  <si>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</si>
  <si>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</si>
  <si>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</si>
  <si>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</si>
  <si>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</si>
  <si>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</si>
  <si>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</si>
  <si>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</si>
  <si>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</si>
  <si>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</si>
  <si>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</si>
  <si>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</si>
  <si>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</si>
  <si>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</si>
  <si>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</si>
  <si>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</si>
  <si>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</si>
  <si>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</si>
  <si>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</si>
  <si>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</si>
  <si>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</si>
  <si>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</si>
  <si>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</si>
  <si>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</si>
  <si>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</si>
  <si>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</si>
  <si>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</si>
  <si>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</si>
  <si>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</si>
  <si>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</si>
  <si>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</si>
  <si>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</si>
  <si>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</si>
  <si>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</si>
  <si>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</si>
  <si>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</si>
  <si>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</si>
  <si>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</si>
  <si>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</si>
  <si>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</si>
  <si>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</si>
  <si>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</si>
  <si>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</si>
  <si>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</si>
  <si>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</si>
  <si>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</si>
  <si>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</si>
  <si>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</si>
  <si>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</si>
  <si>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</si>
  <si>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</si>
  <si>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</si>
  <si>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</si>
  <si>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</si>
  <si>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</si>
  <si>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</si>
  <si>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</si>
  <si>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</si>
  <si>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</si>
  <si>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</si>
  <si>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</si>
  <si>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</si>
  <si>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</si>
  <si>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</si>
  <si>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</si>
  <si>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</si>
  <si>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</si>
  <si>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</si>
  <si>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</si>
  <si>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</si>
  <si>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</si>
  <si>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</si>
  <si>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</si>
  <si>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</si>
  <si>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</si>
  <si>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</si>
  <si>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</si>
  <si>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</si>
  <si>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</si>
  <si>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</si>
  <si>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</si>
  <si>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</si>
  <si>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</si>
  <si>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</si>
  <si>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</si>
  <si>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</si>
  <si>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</si>
  <si>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</si>
  <si>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</si>
  <si>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</si>
  <si>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</si>
  <si>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</si>
  <si>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</si>
  <si>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</si>
  <si>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</si>
  <si>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</si>
  <si>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</si>
  <si>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</si>
  <si>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</si>
  <si>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</si>
  <si>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</si>
  <si>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</si>
  <si>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</si>
  <si>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</si>
  <si>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</si>
  <si>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</si>
  <si>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</si>
  <si>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</si>
  <si>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</si>
  <si>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</si>
  <si>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</si>
  <si>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</si>
  <si>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</si>
  <si>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</si>
  <si>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</si>
  <si>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</si>
  <si>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</si>
  <si>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</si>
  <si>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</si>
  <si>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</si>
  <si>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</si>
  <si>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</si>
  <si>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</si>
  <si>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</si>
  <si>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</si>
  <si>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</si>
  <si>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</si>
  <si>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</si>
  <si>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</si>
  <si>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</si>
  <si>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</si>
  <si>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</si>
  <si>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</si>
  <si>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</si>
  <si>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</si>
  <si>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</si>
  <si>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</si>
  <si>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</si>
  <si>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</si>
  <si>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</si>
  <si>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</si>
  <si>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</si>
  <si>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</si>
  <si>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</si>
  <si>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</si>
  <si>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</si>
  <si>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</si>
  <si>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</si>
  <si>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</si>
  <si>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</si>
  <si>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</si>
  <si>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</si>
  <si>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</si>
  <si>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</si>
  <si>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</si>
  <si>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</si>
  <si>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</si>
  <si>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</si>
  <si>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</si>
  <si>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</si>
  <si>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</si>
  <si>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</si>
  <si>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</si>
  <si>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</si>
  <si>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</si>
  <si>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</si>
  <si>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</si>
  <si>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</si>
  <si>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</si>
  <si>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</si>
  <si>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</si>
  <si>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</si>
  <si>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</si>
  <si>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</si>
  <si>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</si>
  <si>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</si>
  <si>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</si>
  <si>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</si>
  <si>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</si>
  <si>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</si>
  <si>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</si>
  <si>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</si>
  <si>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</si>
  <si>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</si>
  <si>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</si>
  <si>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</si>
  <si>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</si>
  <si>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</si>
  <si>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</si>
  <si>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</si>
  <si>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</si>
  <si>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</si>
  <si>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</si>
  <si>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</si>
  <si>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</si>
  <si>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</si>
  <si>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</si>
  <si>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</si>
  <si>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</si>
  <si>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</si>
  <si>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</si>
  <si>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</si>
  <si>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</si>
  <si>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</si>
  <si>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</si>
  <si>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</si>
  <si>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</si>
  <si>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</si>
  <si>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</si>
  <si>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</si>
  <si>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</si>
  <si>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</si>
  <si>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</si>
  <si>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</si>
  <si>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</si>
  <si>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</si>
  <si>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</si>
  <si>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</si>
  <si>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</si>
  <si>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</si>
  <si>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</si>
  <si>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</si>
  <si>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</si>
  <si>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</si>
  <si>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</si>
  <si>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</si>
  <si>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</si>
  <si>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</si>
  <si>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</si>
  <si>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</si>
  <si>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</si>
  <si>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</si>
  <si>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</si>
  <si>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</si>
  <si>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</si>
  <si>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</si>
  <si>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</si>
  <si>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</si>
  <si>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</si>
  <si>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</si>
  <si>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</si>
  <si>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</si>
  <si>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</si>
  <si>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</si>
  <si>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</si>
  <si>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</si>
  <si>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</si>
  <si>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</si>
  <si>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</si>
  <si>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</si>
  <si>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</si>
  <si>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</si>
  <si>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</si>
  <si>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</si>
  <si>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</si>
  <si>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</si>
  <si>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</si>
  <si>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</si>
  <si>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</si>
  <si>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</si>
  <si>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</si>
  <si>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</si>
  <si>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</si>
  <si>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</si>
  <si>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</si>
  <si>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</si>
  <si>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</si>
  <si>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</si>
  <si>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</si>
  <si>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</si>
  <si>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</si>
  <si>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</si>
  <si>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</si>
  <si>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</si>
  <si>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</si>
  <si>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</si>
  <si>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</si>
  <si>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</si>
  <si>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</si>
  <si>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</si>
  <si>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</si>
  <si>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</si>
  <si>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</si>
  <si>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</si>
  <si>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</si>
  <si>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</si>
  <si>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</si>
  <si>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</si>
  <si>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</si>
  <si>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</si>
  <si>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</si>
  <si>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</si>
  <si>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</si>
  <si>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</si>
  <si>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</si>
  <si>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</si>
  <si>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</si>
  <si>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</si>
  <si>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</si>
  <si>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</si>
  <si>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</si>
  <si>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</si>
  <si>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</si>
  <si>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</si>
  <si>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</si>
  <si>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</si>
  <si>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</si>
  <si>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</si>
  <si>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</si>
  <si>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</si>
  <si>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</si>
  <si>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</si>
  <si>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</si>
  <si>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</si>
  <si>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</si>
  <si>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</si>
  <si>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</si>
  <si>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</si>
  <si>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</si>
  <si>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</si>
  <si>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</si>
  <si>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</si>
  <si>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</si>
  <si>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</si>
  <si>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</si>
  <si>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</si>
  <si>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</si>
  <si>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</si>
  <si>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</si>
  <si>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</si>
  <si>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</si>
  <si>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</si>
  <si>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</si>
  <si>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</si>
  <si>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</si>
  <si>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</si>
  <si>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</si>
  <si>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</si>
  <si>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</si>
  <si>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</si>
  <si>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</si>
  <si>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</si>
  <si>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</si>
  <si>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</si>
  <si>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</si>
  <si>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</si>
  <si>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</si>
  <si>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</si>
  <si>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</si>
  <si>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</si>
  <si>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</si>
  <si>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</si>
  <si>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</si>
  <si>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</si>
  <si>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</si>
  <si>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</si>
  <si>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</si>
  <si>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</si>
  <si>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</si>
  <si>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</si>
  <si>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</si>
  <si>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</si>
  <si>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</si>
  <si>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</si>
  <si>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</si>
  <si>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</si>
  <si>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</si>
  <si>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</si>
  <si>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</si>
  <si>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</si>
  <si>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</si>
  <si>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</si>
  <si>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</si>
  <si>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</si>
  <si>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</si>
  <si>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</si>
  <si>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</si>
  <si>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</si>
  <si>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</si>
  <si>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</si>
  <si>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</si>
  <si>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</si>
  <si>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</si>
  <si>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</si>
  <si>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</si>
  <si>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</si>
  <si>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</si>
  <si>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</si>
  <si>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</si>
  <si>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</si>
  <si>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</si>
  <si>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</si>
  <si>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</si>
  <si>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</si>
  <si>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</si>
  <si>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</si>
  <si>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</si>
  <si>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</si>
  <si>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</si>
  <si>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</si>
  <si>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</si>
  <si>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</si>
  <si>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</si>
  <si>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</si>
  <si>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</si>
  <si>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</si>
  <si>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</si>
  <si>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</si>
  <si>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</si>
  <si>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</si>
  <si>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</si>
  <si>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</si>
  <si>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</si>
  <si>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</si>
  <si>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</si>
  <si>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</si>
  <si>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</si>
  <si>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</si>
  <si>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</si>
  <si>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</si>
  <si>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</si>
  <si>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</si>
  <si>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</si>
  <si>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</si>
  <si>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</si>
  <si>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</si>
  <si>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</si>
  <si>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</si>
  <si>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</si>
  <si>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</si>
  <si>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</si>
  <si>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</si>
  <si>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</si>
  <si>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</si>
  <si>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</si>
  <si>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</si>
  <si>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</si>
  <si>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</si>
  <si>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</si>
  <si>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</si>
  <si>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</si>
  <si>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</si>
  <si>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</si>
  <si>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</si>
  <si>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</si>
  <si>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</si>
  <si>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</si>
  <si>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</si>
  <si>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</si>
  <si>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</si>
  <si>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</si>
  <si>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</si>
  <si>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</si>
  <si>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</si>
  <si>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</si>
  <si>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</si>
  <si>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</si>
  <si>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</si>
  <si>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</si>
  <si>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</si>
  <si>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</si>
  <si>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</si>
  <si>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</si>
  <si>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</si>
  <si>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</si>
  <si>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</si>
  <si>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</si>
  <si>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</si>
  <si>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</si>
  <si>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</si>
  <si>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</si>
  <si>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</si>
  <si>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</si>
  <si>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</si>
  <si>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</si>
  <si>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</si>
  <si>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</si>
  <si>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</si>
  <si>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</si>
  <si>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</si>
  <si>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</si>
  <si>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</si>
  <si>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</si>
  <si>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</si>
  <si>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</si>
  <si>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</si>
  <si>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</si>
  <si>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</si>
  <si>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</si>
  <si>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</si>
  <si>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</si>
  <si>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</si>
  <si>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</si>
  <si>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</si>
  <si>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</si>
  <si>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</si>
  <si>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</si>
  <si>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</si>
  <si>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</si>
  <si>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</si>
  <si>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</si>
  <si>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</si>
  <si>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</si>
  <si>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</si>
  <si>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</si>
  <si>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</si>
  <si>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</si>
  <si>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</si>
  <si>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</si>
  <si>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</si>
  <si>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</si>
  <si>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</si>
  <si>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</si>
  <si>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</si>
  <si>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</si>
  <si>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</si>
  <si>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</si>
  <si>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</si>
  <si>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</si>
  <si>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</si>
  <si>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</si>
  <si>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</si>
  <si>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</si>
  <si>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</si>
  <si>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</si>
  <si>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</si>
  <si>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</si>
  <si>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</si>
  <si>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</si>
  <si>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</si>
  <si>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</si>
  <si>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</si>
  <si>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</si>
  <si>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</si>
  <si>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</si>
  <si>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</si>
  <si>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</si>
  <si>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</si>
  <si>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</si>
  <si>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</si>
  <si>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</si>
  <si>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</si>
  <si>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</si>
  <si>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</si>
  <si>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</si>
  <si>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</si>
  <si>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</si>
  <si>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</si>
  <si>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</si>
  <si>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</si>
  <si>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</si>
  <si>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</si>
  <si>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</si>
  <si>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</si>
  <si>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</si>
  <si>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</si>
  <si>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</si>
  <si>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</si>
  <si>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</si>
  <si>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</si>
  <si>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</si>
  <si>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</si>
  <si>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</si>
  <si>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</si>
  <si>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</si>
  <si>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</si>
  <si>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</si>
  <si>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</si>
  <si>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</si>
  <si>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</si>
  <si>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</si>
  <si>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</si>
  <si>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</si>
  <si>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</si>
  <si>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</si>
  <si>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</si>
  <si>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</si>
  <si>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</si>
  <si>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</si>
  <si>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</si>
  <si>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</si>
  <si>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</si>
  <si>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</si>
  <si>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</si>
  <si>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</si>
  <si>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</si>
  <si>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</si>
  <si>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</si>
  <si>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</si>
  <si>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</si>
  <si>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</si>
  <si>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</si>
  <si>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</si>
  <si>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</si>
  <si>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</si>
  <si>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</si>
  <si>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</si>
  <si>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</si>
  <si>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</si>
  <si>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</si>
  <si>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</si>
  <si>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</si>
  <si>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</si>
  <si>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</si>
  <si>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</si>
  <si>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</si>
  <si>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</si>
  <si>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</si>
  <si>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</si>
  <si>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</si>
  <si>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</si>
  <si>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</si>
  <si>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</si>
  <si>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</si>
  <si>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</si>
  <si>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</si>
  <si>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</si>
  <si>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</si>
  <si>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</si>
  <si>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</si>
  <si>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</si>
  <si>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</si>
  <si>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</si>
  <si>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</si>
  <si>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</si>
  <si>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</si>
  <si>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</si>
  <si>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</si>
  <si>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</si>
  <si>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</si>
  <si>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</si>
  <si>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</si>
  <si>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</si>
  <si>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</si>
  <si>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</si>
  <si>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</si>
  <si>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</si>
  <si>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</si>
  <si>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</si>
  <si>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</si>
  <si>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</si>
  <si>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</si>
  <si>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</si>
  <si>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</si>
  <si>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</si>
  <si>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</si>
  <si>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</si>
  <si>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</si>
  <si>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</si>
  <si>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</si>
  <si>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</si>
  <si>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</si>
  <si>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</si>
  <si>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</si>
  <si>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</si>
  <si>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</si>
  <si>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</si>
  <si>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</si>
  <si>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</si>
  <si>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</si>
  <si>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</si>
  <si>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</si>
  <si>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</si>
  <si>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</si>
  <si>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</si>
  <si>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</si>
  <si>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</si>
  <si>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</si>
  <si>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</si>
  <si>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</si>
  <si>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</si>
  <si>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</si>
  <si>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</si>
  <si>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</si>
  <si>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</si>
  <si>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</si>
  <si>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</si>
  <si>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</si>
  <si>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</si>
  <si>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</si>
  <si>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</si>
  <si>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</si>
  <si>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</si>
  <si>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</si>
  <si>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</si>
  <si>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</si>
  <si>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</si>
  <si>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</si>
  <si>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</si>
  <si>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</si>
  <si>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</si>
  <si>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</si>
  <si>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</si>
  <si>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</si>
  <si>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</si>
  <si>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</si>
  <si>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</si>
  <si>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</si>
  <si>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</si>
  <si>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</si>
  <si>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</si>
  <si>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</si>
  <si>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</si>
  <si>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</si>
  <si>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</si>
  <si>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</si>
  <si>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</si>
  <si>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</si>
  <si>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</si>
  <si>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</si>
  <si>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</si>
  <si>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</si>
  <si>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</si>
  <si>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</si>
  <si>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</si>
  <si>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</si>
  <si>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</si>
  <si>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</si>
  <si>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</si>
  <si>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</si>
  <si>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</si>
  <si>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</si>
  <si>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</si>
  <si>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</si>
  <si>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</si>
  <si>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</si>
  <si>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</si>
  <si>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</si>
  <si>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</si>
  <si>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</si>
  <si>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</si>
  <si>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</si>
  <si>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</si>
  <si>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</si>
  <si>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</si>
  <si>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</si>
  <si>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</si>
  <si>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</si>
  <si>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</si>
  <si>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</si>
  <si>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</si>
  <si>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</si>
  <si>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</si>
  <si>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</si>
  <si>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</si>
  <si>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</si>
  <si>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</si>
  <si>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</si>
  <si>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</si>
  <si>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</si>
  <si>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</si>
  <si>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</si>
  <si>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</si>
  <si>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</si>
  <si>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</si>
  <si>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</si>
  <si>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</si>
  <si>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</si>
  <si>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</si>
  <si>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</si>
  <si>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</si>
  <si>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</si>
  <si>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</si>
  <si>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</si>
  <si>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</si>
  <si>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</si>
  <si>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</si>
  <si>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</si>
  <si>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</si>
  <si>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</si>
  <si>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</si>
  <si>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</si>
  <si>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</si>
  <si>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</si>
  <si>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</si>
  <si>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</si>
  <si>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</si>
  <si>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</si>
  <si>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</si>
  <si>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</si>
  <si>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</si>
  <si>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</si>
  <si>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</si>
  <si>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</si>
  <si>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</si>
  <si>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</si>
  <si>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</si>
  <si>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</si>
  <si>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</si>
  <si>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</si>
  <si>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</si>
  <si>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</si>
  <si>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</si>
  <si>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</si>
  <si>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</si>
  <si>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</si>
  <si>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</si>
  <si>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</si>
  <si>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</si>
  <si>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</si>
  <si>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</si>
  <si>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</si>
  <si>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</si>
  <si>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</si>
  <si>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</si>
  <si>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</si>
  <si>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</si>
  <si>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</si>
  <si>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</si>
  <si>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</si>
  <si>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</si>
  <si>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</si>
  <si>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</si>
  <si>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</si>
  <si>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</si>
  <si>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</si>
  <si>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</si>
  <si>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</si>
  <si>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</si>
  <si>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</si>
  <si>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</si>
  <si>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</si>
  <si>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</si>
  <si>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</si>
  <si>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</si>
  <si>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</si>
  <si>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</si>
  <si>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</si>
  <si>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</si>
  <si>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</si>
  <si>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</si>
  <si>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</si>
  <si>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</si>
  <si>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</si>
  <si>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</si>
  <si>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</si>
  <si>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</si>
  <si>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</si>
  <si>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</si>
  <si>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</si>
  <si>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</si>
  <si>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</si>
  <si>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</si>
  <si>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</si>
  <si>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</si>
  <si>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</si>
  <si>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</si>
  <si>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</si>
  <si>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</si>
  <si>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</si>
  <si>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</si>
  <si>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</si>
  <si>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</si>
  <si>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</si>
  <si>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</si>
  <si>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</si>
  <si>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</si>
  <si>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</si>
  <si>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</si>
  <si>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</si>
  <si>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</si>
  <si>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</si>
  <si>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</si>
  <si>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</si>
  <si>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</si>
  <si>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</si>
  <si>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</si>
  <si>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</si>
  <si>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</si>
  <si>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</si>
  <si>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</si>
  <si>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</si>
  <si>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</si>
  <si>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</si>
  <si>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</si>
  <si>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</si>
  <si>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</si>
  <si>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</si>
  <si>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</si>
  <si>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</si>
  <si>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</si>
  <si>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</si>
  <si>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</si>
  <si>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</si>
  <si>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</si>
  <si>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</si>
  <si>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</si>
  <si>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</si>
  <si>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</si>
  <si>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</si>
  <si>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</si>
  <si>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</si>
  <si>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</si>
  <si>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</si>
  <si>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</si>
  <si>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</si>
  <si>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</si>
  <si>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</si>
  <si>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</si>
  <si>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</si>
  <si>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</si>
  <si>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</si>
  <si>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</si>
  <si>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</si>
  <si>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</si>
  <si>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</si>
  <si>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</si>
  <si>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</si>
  <si>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</si>
  <si>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</si>
  <si>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</si>
  <si>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</si>
  <si>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</si>
  <si>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</si>
  <si>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</si>
  <si>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</si>
  <si>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</si>
  <si>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</si>
  <si>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</si>
  <si>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</si>
  <si>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</si>
  <si>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</si>
  <si>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</si>
  <si>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</si>
  <si>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</si>
  <si>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</si>
  <si>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</si>
  <si>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</si>
  <si>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</si>
  <si>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</si>
  <si>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</si>
  <si>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</si>
  <si>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</si>
  <si>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</si>
  <si>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</si>
  <si>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</si>
  <si>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</si>
  <si>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</si>
  <si>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</si>
  <si>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</si>
  <si>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</si>
  <si>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</si>
  <si>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</si>
  <si>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</si>
  <si>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</si>
  <si>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</si>
  <si>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</si>
  <si>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</si>
  <si>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</si>
  <si>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</si>
  <si>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</si>
  <si>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</si>
  <si>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</si>
  <si>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</si>
  <si>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</si>
  <si>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</si>
  <si>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</si>
  <si>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</si>
  <si>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</si>
  <si>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</si>
  <si>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</si>
  <si>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</si>
  <si>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</si>
  <si>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</si>
  <si>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</si>
  <si>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</si>
  <si>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</si>
  <si>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</si>
  <si>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</si>
  <si>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</si>
  <si>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</si>
  <si>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</si>
  <si>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</si>
  <si>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</si>
  <si>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</si>
  <si>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</si>
  <si>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</si>
  <si>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</si>
  <si>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</si>
  <si>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</si>
  <si>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</si>
  <si>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</si>
  <si>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</si>
  <si>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</si>
  <si>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</si>
  <si>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</si>
  <si>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</si>
  <si>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</si>
  <si>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</si>
  <si>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</si>
  <si>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</si>
  <si>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</si>
  <si>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</si>
  <si>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</si>
  <si>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</si>
  <si>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</si>
  <si>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</si>
  <si>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</si>
  <si>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</si>
  <si>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</si>
  <si>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</si>
  <si>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</si>
  <si>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</si>
  <si>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</si>
  <si>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</si>
  <si>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</si>
  <si>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</si>
  <si>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</si>
  <si>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</si>
  <si>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</si>
  <si>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</si>
  <si>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</si>
  <si>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</si>
  <si>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</si>
  <si>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</si>
  <si>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</si>
  <si>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</si>
  <si>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</si>
  <si>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</si>
  <si>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</si>
  <si>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</si>
  <si>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</si>
  <si>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</si>
  <si>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</si>
  <si>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</si>
  <si>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</si>
  <si>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</si>
  <si>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</si>
  <si>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</si>
  <si>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</si>
  <si>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</si>
  <si>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</si>
  <si>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</si>
  <si>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</si>
  <si>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</si>
  <si>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</si>
  <si>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</si>
  <si>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</si>
  <si>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</si>
  <si>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</si>
  <si>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</si>
  <si>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</si>
  <si>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</si>
  <si>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</si>
  <si>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</si>
  <si>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</si>
  <si>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</si>
  <si>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</si>
  <si>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</si>
  <si>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</si>
  <si>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</si>
  <si>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</si>
  <si>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</si>
  <si>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</si>
  <si>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</si>
  <si>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</si>
  <si>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</si>
  <si>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</si>
  <si>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</si>
  <si>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</si>
  <si>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</si>
  <si>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</si>
  <si>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</si>
  <si>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</si>
  <si>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</si>
  <si>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</si>
  <si>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</si>
  <si>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</si>
  <si>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</si>
  <si>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</si>
  <si>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</si>
  <si>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</si>
  <si>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</si>
  <si>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</si>
  <si>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</si>
  <si>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</si>
  <si>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</si>
  <si>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</si>
  <si>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</si>
  <si>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</si>
  <si>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</si>
  <si>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</si>
  <si>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</si>
  <si>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</si>
  <si>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</si>
  <si>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</si>
  <si>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</si>
  <si>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</si>
  <si>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</si>
  <si>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</si>
  <si>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</si>
  <si>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</si>
  <si>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</si>
  <si>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</si>
  <si>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</si>
  <si>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</si>
  <si>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</si>
  <si>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</si>
  <si>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</si>
  <si>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</si>
  <si>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</si>
  <si>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</si>
  <si>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</si>
  <si>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</si>
  <si>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</si>
  <si>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</si>
  <si>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</si>
  <si>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</si>
  <si>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</si>
  <si>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</si>
  <si>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</si>
  <si>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</si>
  <si>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</si>
  <si>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</si>
  <si>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</si>
  <si>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</si>
  <si>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</si>
  <si>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</si>
  <si>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</si>
  <si>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</si>
  <si>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</si>
  <si>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</si>
  <si>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</si>
  <si>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</si>
  <si>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</si>
  <si>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</si>
  <si>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</si>
  <si>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</si>
  <si>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</si>
  <si>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</si>
  <si>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</si>
  <si>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</si>
  <si>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</si>
  <si>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</si>
  <si>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</si>
  <si>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</si>
  <si>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</si>
  <si>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</si>
  <si>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</si>
  <si>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</si>
  <si>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</si>
  <si>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</si>
  <si>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</si>
  <si>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</si>
  <si>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</si>
  <si>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</si>
  <si>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</si>
  <si>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</si>
  <si>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</si>
  <si>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</si>
  <si>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</si>
  <si>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</si>
  <si>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</si>
  <si>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</si>
  <si>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</si>
  <si>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</si>
  <si>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</si>
  <si>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</si>
  <si>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</si>
  <si>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</si>
  <si>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</si>
  <si>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</si>
  <si>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</si>
  <si>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</si>
  <si>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</si>
  <si>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</si>
  <si>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</si>
  <si>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</si>
  <si>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</si>
  <si>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</si>
  <si>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</si>
  <si>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</si>
  <si>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</si>
  <si>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</si>
  <si>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</si>
  <si>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</si>
  <si>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</si>
  <si>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</si>
  <si>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</si>
  <si>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</si>
  <si>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</si>
  <si>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</si>
  <si>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</si>
  <si>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</si>
  <si>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</si>
  <si>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</si>
  <si>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</si>
  <si>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</si>
  <si>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</si>
  <si>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</si>
  <si>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</si>
  <si>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</si>
  <si>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</si>
  <si>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</si>
  <si>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</si>
  <si>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</si>
  <si>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</si>
  <si>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</si>
  <si>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</si>
  <si>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</si>
  <si>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</si>
  <si>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</si>
  <si>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</si>
  <si>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</si>
  <si>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</si>
  <si>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</si>
  <si>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</si>
  <si>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</si>
  <si>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</si>
  <si>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</si>
  <si>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</si>
  <si>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</si>
  <si>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</si>
  <si>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</si>
  <si>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</si>
  <si>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</si>
  <si>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</si>
  <si>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</si>
  <si>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</si>
  <si>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</si>
  <si>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</si>
  <si>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</si>
  <si>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</si>
  <si>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</si>
  <si>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</si>
  <si>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</si>
  <si>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</si>
  <si>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</si>
  <si>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</si>
  <si>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</si>
  <si>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</si>
  <si>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</si>
  <si>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</si>
  <si>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</si>
  <si>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</si>
  <si>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</si>
  <si>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</si>
  <si>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</si>
  <si>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</si>
  <si>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</si>
  <si>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</si>
  <si>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</si>
  <si>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</si>
  <si>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</si>
  <si>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</si>
  <si>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</si>
  <si>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</si>
  <si>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</si>
  <si>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</si>
  <si>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</si>
  <si>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</si>
  <si>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</si>
  <si>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</si>
  <si>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</si>
  <si>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</si>
  <si>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</si>
  <si>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</si>
  <si>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</si>
  <si>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</si>
  <si>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</si>
  <si>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</si>
  <si>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</si>
  <si>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</si>
  <si>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</si>
  <si>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</si>
  <si>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</si>
  <si>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</si>
  <si>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</si>
  <si>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</si>
  <si>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</si>
  <si>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</si>
  <si>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</si>
  <si>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</si>
  <si>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</si>
  <si>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</si>
  <si>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</si>
  <si>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</si>
  <si>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</si>
  <si>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</si>
  <si>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</si>
  <si>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</si>
  <si>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</si>
  <si>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</si>
  <si>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</si>
  <si>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</si>
  <si>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</si>
  <si>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</si>
  <si>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</si>
  <si>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</si>
  <si>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</si>
  <si>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</si>
  <si>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</si>
  <si>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</si>
  <si>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</si>
  <si>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</si>
  <si>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</si>
  <si>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</si>
  <si>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</si>
  <si>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</si>
  <si>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</si>
  <si>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</si>
  <si>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</si>
  <si>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</si>
  <si>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</si>
  <si>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</si>
  <si>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</si>
  <si>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</si>
  <si>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</si>
  <si>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</si>
  <si>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</si>
  <si>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</si>
  <si>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</si>
  <si>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</si>
  <si>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</si>
  <si>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</si>
  <si>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</si>
  <si>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</si>
  <si>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</si>
  <si>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</si>
  <si>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</si>
  <si>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</si>
  <si>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</si>
  <si>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</si>
  <si>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</si>
  <si>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</si>
  <si>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</si>
  <si>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</si>
  <si>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</si>
  <si>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</si>
  <si>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</si>
  <si>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</si>
  <si>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</si>
  <si>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</si>
  <si>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</si>
  <si>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</si>
  <si>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</si>
  <si>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</si>
  <si>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</si>
  <si>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</si>
  <si>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</si>
  <si>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</si>
  <si>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</si>
  <si>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</si>
  <si>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</si>
  <si>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</si>
  <si>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</si>
  <si>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</si>
  <si>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</si>
  <si>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</si>
  <si>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</si>
  <si>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</si>
  <si>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</si>
  <si>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</si>
  <si>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</si>
  <si>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</si>
  <si>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</si>
  <si>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</si>
  <si>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</si>
  <si>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</si>
  <si>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</si>
  <si>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</si>
  <si>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</si>
  <si>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</si>
  <si>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</si>
  <si>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</si>
  <si>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</si>
  <si>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</si>
  <si>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</si>
  <si>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</si>
  <si>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</si>
  <si>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</si>
  <si>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</si>
  <si>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</si>
  <si>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</si>
  <si>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</si>
  <si>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</si>
  <si>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</si>
  <si>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</si>
  <si>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</si>
  <si>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</si>
  <si>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</si>
  <si>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</si>
  <si>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</si>
  <si>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</si>
  <si>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</si>
  <si>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</si>
  <si>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</si>
  <si>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</si>
  <si>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</si>
  <si>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</si>
  <si>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</si>
  <si>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</si>
  <si>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</si>
  <si>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</si>
  <si>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</si>
  <si>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</si>
  <si>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</si>
  <si>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</si>
  <si>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</si>
  <si>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</si>
  <si>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</si>
  <si>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</si>
  <si>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</si>
  <si>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</si>
  <si>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</si>
  <si>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</si>
  <si>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</si>
  <si>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</si>
  <si>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</si>
  <si>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</si>
  <si>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</si>
  <si>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</si>
  <si>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</si>
  <si>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</si>
  <si>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</si>
  <si>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</si>
  <si>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</si>
  <si>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</si>
  <si>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</si>
  <si>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</si>
  <si>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</si>
  <si>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</si>
  <si>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</si>
  <si>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</si>
  <si>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</si>
  <si>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</si>
  <si>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</si>
  <si>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</si>
  <si>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</si>
  <si>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</si>
  <si>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</si>
  <si>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</si>
  <si>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</si>
  <si>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</si>
  <si>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</si>
  <si>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</si>
  <si>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</si>
  <si>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</si>
  <si>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</si>
  <si>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</si>
  <si>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</si>
  <si>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</si>
  <si>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</si>
  <si>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</si>
  <si>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</si>
  <si>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</si>
  <si>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</si>
  <si>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</si>
  <si>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</si>
  <si>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</si>
  <si>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</si>
  <si>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</si>
  <si>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</si>
  <si>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</si>
  <si>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</si>
  <si>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</si>
  <si>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</si>
  <si>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</si>
  <si>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</si>
  <si>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</si>
  <si>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</si>
  <si>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</si>
  <si>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</si>
  <si>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</si>
  <si>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</si>
  <si>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</si>
  <si>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</si>
  <si>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</si>
  <si>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</si>
  <si>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</si>
  <si>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</si>
  <si>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</si>
  <si>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</si>
  <si>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</si>
  <si>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</si>
  <si>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</si>
  <si>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</si>
  <si>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</si>
  <si>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</si>
  <si>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</si>
  <si>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</si>
  <si>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</si>
  <si>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</si>
  <si>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</si>
  <si>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</si>
  <si>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</si>
  <si>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</si>
  <si>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</si>
  <si>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</si>
  <si>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</si>
  <si>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</si>
  <si>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</si>
  <si>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</si>
  <si>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</si>
  <si>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</si>
  <si>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</si>
  <si>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</si>
  <si>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</si>
  <si>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</si>
  <si>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</si>
  <si>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</si>
  <si>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</si>
  <si>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</si>
  <si>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</si>
  <si>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</si>
  <si>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</si>
  <si>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</si>
  <si>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</si>
  <si>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</si>
  <si>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</si>
  <si>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</si>
  <si>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</si>
  <si>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</si>
  <si>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</si>
  <si>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</si>
  <si>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</si>
  <si>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</si>
  <si>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</si>
  <si>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</si>
  <si>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</si>
  <si>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</si>
  <si>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</si>
  <si>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</si>
  <si>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</si>
  <si>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</si>
  <si>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</si>
  <si>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</si>
  <si>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</si>
  <si>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</si>
  <si>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</si>
  <si>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</si>
  <si>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</si>
  <si>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</si>
  <si>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</si>
  <si>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</si>
  <si>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</si>
  <si>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</si>
  <si>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</si>
  <si>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</si>
  <si>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</si>
  <si>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</si>
  <si>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</si>
  <si>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</si>
  <si>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</si>
  <si>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</si>
  <si>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</si>
  <si>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</si>
  <si>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</si>
  <si>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</si>
  <si>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</si>
  <si>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</si>
  <si>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</si>
  <si>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</si>
  <si>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</si>
  <si>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</si>
  <si>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</si>
  <si>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</si>
  <si>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</si>
  <si>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</si>
  <si>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</si>
  <si>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</si>
  <si>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</si>
  <si>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</si>
  <si>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</si>
  <si>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</si>
  <si>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</si>
  <si>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</si>
  <si>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</si>
  <si>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</si>
  <si>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</si>
  <si>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</si>
  <si>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</si>
  <si>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</si>
  <si>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</si>
  <si>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</si>
  <si>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</si>
  <si>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</si>
  <si>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</si>
  <si>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</si>
  <si>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</si>
  <si>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</si>
  <si>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</si>
  <si>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</si>
  <si>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</si>
  <si>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</si>
  <si>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</si>
  <si>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</si>
  <si>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</si>
  <si>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</si>
  <si>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</si>
  <si>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</si>
  <si>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</si>
  <si>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</si>
  <si>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</si>
  <si>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</si>
  <si>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</si>
  <si>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</si>
  <si>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</si>
  <si>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</si>
  <si>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</si>
  <si>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</si>
  <si>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</si>
  <si>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</si>
  <si>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</si>
  <si>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</si>
  <si>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</si>
  <si>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</si>
  <si>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</si>
  <si>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</si>
  <si>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</si>
  <si>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</si>
  <si>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</si>
  <si>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</si>
  <si>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</si>
  <si>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</si>
  <si>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</si>
  <si>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</si>
  <si>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</si>
  <si>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</si>
  <si>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</si>
  <si>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</si>
  <si>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</si>
  <si>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</si>
  <si>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</si>
  <si>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</si>
  <si>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</si>
  <si>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</si>
  <si>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</si>
  <si>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</si>
  <si>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</si>
  <si>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</si>
  <si>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</si>
  <si>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</si>
  <si>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</si>
  <si>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</si>
  <si>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</si>
  <si>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</si>
  <si>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</si>
  <si>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</si>
  <si>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</si>
  <si>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</si>
  <si>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</si>
  <si>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</si>
  <si>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</si>
  <si>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</si>
  <si>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</si>
  <si>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</si>
  <si>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</si>
  <si>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</si>
  <si>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</si>
  <si>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</si>
  <si>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</si>
  <si>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</si>
  <si>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</si>
  <si>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</si>
  <si>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</si>
  <si>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</si>
  <si>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</si>
  <si>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</si>
  <si>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</si>
  <si>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</si>
  <si>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</si>
  <si>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</si>
  <si>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</si>
  <si>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</si>
  <si>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</si>
  <si>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</si>
  <si>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</si>
  <si>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</si>
  <si>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</si>
  <si>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</si>
  <si>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</si>
  <si>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</si>
  <si>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</si>
  <si>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</si>
  <si>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</si>
  <si>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</si>
  <si>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</si>
  <si>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</si>
  <si>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</si>
  <si>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</si>
  <si>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</si>
  <si>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</si>
  <si>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</si>
  <si>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</si>
  <si>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</si>
  <si>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</si>
  <si>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</si>
  <si>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</si>
  <si>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</si>
  <si>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</si>
  <si>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</si>
  <si>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</si>
  <si>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</si>
  <si>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</si>
  <si>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</si>
  <si>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</si>
  <si>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</si>
  <si>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</si>
  <si>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</si>
  <si>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</si>
  <si>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</si>
  <si>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</si>
  <si>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</si>
  <si>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</si>
  <si>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</si>
  <si>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</si>
  <si>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</si>
  <si>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</si>
  <si>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</si>
  <si>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</si>
  <si>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</si>
  <si>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</si>
  <si>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</si>
  <si>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</si>
  <si>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</si>
  <si>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</si>
  <si>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</si>
  <si>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</si>
  <si>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</si>
  <si>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</si>
  <si>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</si>
  <si>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</si>
  <si>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</si>
  <si>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</si>
  <si>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</si>
  <si>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</si>
  <si>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</si>
  <si>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</si>
  <si>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</si>
  <si>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</si>
  <si>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</si>
  <si>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</si>
  <si>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</si>
  <si>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</si>
  <si>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</si>
  <si>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</si>
  <si>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</si>
  <si>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</si>
  <si>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</si>
  <si>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</si>
  <si>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</si>
  <si>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</si>
  <si>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</si>
  <si>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</si>
  <si>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</si>
  <si>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</si>
  <si>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</si>
  <si>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</si>
  <si>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</si>
  <si>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</si>
  <si>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</si>
  <si>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</si>
  <si>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</si>
  <si>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</si>
  <si>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</si>
  <si>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</si>
  <si>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</si>
  <si>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</si>
  <si>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</si>
  <si>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</si>
  <si>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</si>
  <si>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</si>
  <si>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</si>
  <si>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</si>
  <si>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</si>
  <si>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</si>
  <si>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</si>
  <si>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</si>
  <si>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</si>
  <si>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</si>
  <si>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</si>
  <si>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</si>
  <si>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</si>
  <si>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</si>
  <si>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</si>
  <si>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</si>
  <si>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</si>
  <si>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</si>
  <si>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</si>
  <si>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</si>
  <si>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</si>
  <si>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</si>
  <si>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</si>
  <si>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</si>
  <si>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</si>
  <si>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</si>
  <si>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</si>
  <si>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</si>
  <si>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</si>
  <si>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</si>
  <si>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</si>
  <si>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</si>
  <si>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</si>
  <si>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</si>
  <si>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</si>
  <si>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</si>
  <si>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</si>
  <si>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</si>
  <si>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</si>
  <si>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</si>
  <si>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</si>
  <si>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</si>
  <si>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</si>
  <si>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</si>
  <si>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</si>
  <si>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</si>
  <si>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</si>
  <si>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</si>
  <si>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</si>
  <si>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</si>
  <si>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</si>
  <si>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</si>
  <si>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</si>
  <si>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</si>
  <si>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</si>
  <si>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</si>
  <si>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</si>
  <si>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</si>
  <si>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</si>
  <si>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</si>
  <si>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</si>
  <si>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</si>
  <si>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</si>
  <si>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</si>
  <si>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</si>
  <si>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</si>
  <si>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</si>
  <si>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</si>
  <si>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</si>
  <si>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</si>
  <si>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</si>
  <si>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</si>
  <si>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</si>
  <si>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</si>
  <si>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</si>
  <si>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</si>
  <si>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</si>
  <si>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</si>
  <si>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</si>
  <si>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</si>
  <si>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</si>
  <si>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</si>
  <si>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</si>
  <si>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</si>
  <si>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</si>
  <si>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</si>
  <si>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</si>
  <si>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</si>
  <si>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</si>
  <si>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</si>
  <si>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</si>
  <si>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</si>
  <si>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</si>
  <si>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</si>
  <si>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</si>
  <si>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</si>
  <si>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</si>
  <si>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</si>
  <si>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</si>
  <si>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</si>
  <si>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</si>
  <si>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</si>
  <si>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</si>
  <si>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</si>
  <si>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</si>
  <si>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</si>
  <si>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</si>
  <si>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</si>
  <si>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</si>
  <si>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</si>
  <si>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</si>
  <si>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</si>
  <si>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</si>
  <si>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</si>
  <si>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</si>
  <si>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</si>
  <si>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</si>
  <si>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</si>
  <si>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</si>
  <si>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</si>
  <si>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</si>
  <si>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</si>
  <si>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</si>
  <si>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</si>
  <si>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</si>
  <si>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</si>
  <si>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</si>
  <si>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</si>
  <si>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</si>
  <si>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</si>
  <si>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</si>
  <si>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</si>
  <si>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</si>
  <si>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</si>
  <si>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</si>
  <si>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</si>
  <si>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</si>
  <si>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</si>
  <si>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</si>
  <si>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</si>
  <si>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</si>
  <si>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</si>
  <si>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</si>
  <si>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</si>
  <si>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</si>
  <si>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</si>
  <si>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</si>
  <si>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</si>
  <si>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</si>
  <si>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</si>
  <si>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</si>
  <si>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</si>
  <si>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</si>
  <si>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</si>
  <si>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</si>
  <si>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</si>
  <si>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</si>
  <si>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</si>
  <si>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</si>
  <si>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</si>
  <si>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</si>
  <si>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</si>
  <si>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</si>
  <si>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</si>
  <si>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</si>
  <si>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</si>
  <si>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</si>
  <si>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</si>
  <si>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</si>
  <si>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</si>
  <si>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</si>
  <si>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</si>
  <si>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</si>
  <si>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</si>
  <si>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</si>
  <si>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</si>
  <si>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</si>
  <si>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</si>
  <si>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</si>
  <si>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</si>
  <si>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</si>
  <si>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</si>
  <si>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</si>
  <si>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</si>
  <si>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</si>
  <si>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</si>
  <si>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</si>
  <si>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</si>
  <si>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</si>
  <si>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</si>
  <si>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</si>
  <si>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</si>
  <si>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</si>
  <si>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</si>
  <si>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</si>
  <si>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</si>
  <si>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</si>
  <si>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</si>
  <si>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</si>
  <si>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</si>
  <si>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</si>
  <si>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</si>
  <si>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</si>
  <si>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</si>
  <si>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</si>
  <si>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</si>
  <si>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</si>
  <si>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</si>
  <si>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</si>
  <si>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</si>
  <si>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</si>
  <si>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</si>
  <si>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</si>
  <si>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</si>
  <si>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</si>
  <si>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</si>
  <si>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</si>
  <si>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</si>
  <si>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</si>
  <si>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</si>
  <si>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</si>
  <si>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</si>
  <si>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</si>
  <si>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</si>
  <si>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</si>
  <si>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</si>
  <si>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</si>
  <si>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</si>
  <si>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</si>
  <si>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</si>
  <si>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</si>
  <si>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</si>
  <si>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</si>
  <si>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</si>
  <si>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</si>
  <si>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</si>
  <si>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</si>
  <si>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</si>
  <si>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</si>
  <si>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</si>
  <si>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</si>
  <si>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</si>
  <si>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</si>
  <si>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</si>
  <si>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</si>
  <si>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</si>
  <si>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</si>
  <si>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</si>
  <si>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</si>
  <si>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</si>
  <si>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</si>
  <si>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</si>
  <si>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</si>
  <si>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</si>
  <si>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</si>
  <si>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</si>
  <si>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</si>
  <si>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</si>
  <si>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</si>
  <si>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</si>
  <si>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</si>
  <si>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</si>
  <si>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</si>
  <si>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</si>
  <si>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</si>
  <si>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</si>
  <si>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</si>
  <si>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</si>
  <si>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</si>
  <si>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</si>
  <si>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</si>
  <si>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</si>
  <si>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</si>
  <si>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</si>
  <si>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</si>
  <si>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</si>
  <si>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</si>
  <si>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</si>
  <si>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</si>
  <si>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</si>
  <si>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</si>
  <si>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</si>
  <si>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</si>
  <si>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</si>
  <si>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</si>
  <si>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</si>
  <si>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</si>
  <si>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</si>
  <si>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</si>
  <si>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</si>
  <si>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</si>
  <si>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</si>
  <si>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</si>
  <si>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</si>
  <si>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</si>
  <si>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</si>
  <si>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</si>
  <si>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</si>
  <si>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</si>
  <si>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</si>
  <si>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</si>
  <si>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</si>
  <si>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</si>
  <si>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</si>
  <si>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</si>
  <si>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</si>
  <si>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</si>
  <si>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</si>
  <si>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</si>
  <si>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</si>
  <si>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</si>
  <si>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</si>
  <si>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</si>
  <si>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</si>
  <si>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</si>
  <si>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</si>
  <si>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</si>
  <si>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</si>
  <si>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</si>
  <si>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</si>
  <si>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</si>
  <si>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</si>
  <si>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</si>
  <si>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</si>
  <si>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</si>
  <si>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</si>
  <si>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</si>
  <si>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</si>
  <si>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</si>
  <si>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</si>
  <si>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</si>
  <si>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</si>
  <si>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</si>
  <si>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</si>
  <si>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</si>
  <si>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</si>
  <si>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</si>
  <si>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</si>
  <si>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</si>
  <si>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</si>
  <si>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</si>
  <si>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</si>
  <si>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</si>
  <si>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</si>
  <si>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</si>
  <si>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</si>
  <si>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</si>
  <si>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</si>
  <si>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</si>
  <si>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</si>
  <si>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</si>
  <si>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</si>
  <si>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</si>
  <si>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</si>
  <si>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</si>
  <si>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</si>
  <si>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</si>
  <si>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</si>
  <si>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</si>
  <si>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</si>
  <si>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</si>
  <si>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</si>
  <si>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</si>
  <si>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</si>
  <si>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</si>
  <si>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</si>
  <si>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</si>
  <si>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</si>
  <si>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</si>
  <si>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</si>
  <si>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</si>
  <si>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</si>
  <si>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</si>
  <si>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</si>
  <si>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</si>
  <si>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</si>
  <si>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</si>
  <si>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</si>
  <si>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</si>
  <si>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</si>
  <si>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</si>
  <si>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</si>
  <si>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</si>
  <si>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</si>
  <si>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</si>
  <si>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</si>
  <si>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</si>
  <si>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</si>
  <si>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</si>
  <si>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</si>
  <si>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</si>
  <si>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</si>
  <si>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</si>
  <si>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</si>
  <si>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</si>
  <si>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</si>
  <si>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</si>
  <si>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</si>
  <si>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</si>
  <si>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</si>
  <si>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</si>
  <si>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</si>
  <si>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</si>
  <si>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</si>
  <si>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</si>
  <si>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</si>
  <si>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</si>
  <si>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</si>
  <si>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</si>
  <si>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</si>
  <si>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</si>
  <si>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</si>
  <si>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</si>
  <si>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</si>
  <si>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</si>
  <si>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</si>
  <si>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</si>
  <si>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</si>
  <si>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</si>
  <si>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</si>
  <si>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</si>
  <si>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</si>
  <si>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</si>
  <si>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</si>
  <si>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</si>
  <si>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</si>
  <si>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</si>
  <si>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</si>
  <si>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</si>
  <si>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</si>
  <si>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</si>
  <si>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</si>
  <si>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</si>
  <si>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</si>
  <si>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</si>
  <si>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</si>
  <si>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</si>
  <si>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</si>
  <si>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</si>
  <si>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</si>
  <si>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</si>
  <si>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</si>
  <si>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</si>
  <si>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</si>
  <si>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</si>
  <si>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</si>
  <si>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</si>
  <si>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</si>
  <si>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</si>
  <si>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</si>
  <si>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</si>
  <si>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</si>
  <si>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</si>
  <si>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</si>
  <si>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</si>
  <si>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</si>
  <si>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</si>
  <si>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</si>
  <si>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</si>
  <si>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</si>
  <si>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</si>
  <si>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</si>
  <si>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</si>
  <si>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</si>
  <si>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</si>
  <si>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</si>
  <si>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</si>
  <si>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</si>
  <si>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</si>
  <si>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</si>
  <si>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</si>
  <si>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</si>
  <si>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</si>
  <si>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</si>
  <si>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</si>
  <si>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</si>
  <si>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</si>
  <si>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</si>
  <si>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</si>
  <si>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</si>
  <si>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</si>
  <si>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</si>
  <si>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</si>
  <si>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</si>
  <si>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</si>
  <si>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</si>
  <si>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</si>
  <si>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</si>
  <si>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</si>
  <si>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</si>
  <si>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</si>
  <si>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</si>
  <si>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</si>
  <si>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</si>
  <si>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</si>
  <si>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</si>
  <si>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</si>
  <si>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</si>
  <si>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</si>
  <si>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</si>
  <si>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</si>
  <si>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</si>
  <si>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</si>
  <si>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</si>
  <si>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</si>
  <si>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</si>
  <si>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</si>
  <si>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</si>
  <si>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</si>
  <si>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</si>
  <si>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</si>
  <si>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</si>
  <si>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</si>
  <si>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</si>
  <si>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</si>
  <si>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</si>
  <si>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</si>
  <si>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</si>
  <si>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</si>
  <si>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</si>
  <si>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</si>
  <si>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</si>
  <si>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</si>
  <si>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</si>
  <si>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</si>
  <si>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</si>
  <si>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</si>
  <si>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</si>
  <si>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</si>
  <si>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</si>
  <si>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</si>
  <si>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</si>
  <si>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</si>
  <si>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</si>
  <si>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</si>
  <si>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</si>
  <si>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</si>
  <si>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</si>
  <si>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</si>
  <si>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</si>
  <si>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</si>
  <si>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</si>
  <si>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</si>
  <si>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</si>
  <si>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</si>
  <si>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</si>
  <si>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</si>
  <si>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</si>
  <si>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</si>
  <si>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</si>
  <si>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</si>
  <si>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</si>
  <si>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</si>
  <si>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</si>
  <si>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</si>
  <si>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</si>
  <si>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</si>
  <si>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</si>
  <si>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</si>
  <si>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</si>
  <si>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</si>
  <si>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</si>
  <si>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</si>
  <si>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</si>
  <si>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</si>
  <si>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</si>
  <si>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</si>
  <si>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</si>
  <si>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</si>
  <si>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</si>
  <si>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</si>
  <si>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</si>
  <si>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</si>
  <si>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</si>
  <si>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</si>
  <si>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</si>
  <si>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</si>
  <si>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</si>
  <si>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</si>
  <si>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</si>
  <si>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</si>
  <si>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</si>
  <si>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</si>
  <si>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</si>
  <si>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</si>
  <si>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</si>
  <si>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</si>
  <si>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</si>
  <si>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</si>
  <si>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</si>
  <si>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</si>
  <si>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</si>
  <si>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</si>
  <si>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</si>
  <si>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</si>
  <si>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</si>
  <si>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</si>
  <si>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</si>
  <si>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</si>
  <si>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</si>
  <si>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</si>
  <si>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</si>
  <si>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</si>
  <si>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</si>
  <si>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</si>
  <si>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</si>
  <si>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</si>
  <si>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</si>
  <si>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</si>
  <si>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</si>
  <si>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</si>
  <si>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</si>
  <si>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</si>
  <si>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</si>
  <si>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</si>
  <si>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</si>
  <si>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</si>
  <si>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</si>
  <si>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</si>
  <si>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</si>
  <si>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</si>
  <si>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</si>
  <si>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</si>
  <si>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</si>
  <si>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</si>
  <si>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</si>
  <si>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</si>
  <si>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</si>
  <si>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</si>
  <si>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</si>
  <si>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</si>
  <si>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</si>
  <si>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</si>
  <si>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</si>
  <si>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</si>
  <si>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</si>
  <si>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</si>
  <si>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</si>
  <si>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</si>
  <si>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</si>
  <si>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</si>
  <si>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</si>
  <si>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</si>
  <si>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</si>
  <si>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</si>
  <si>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</si>
  <si>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</si>
  <si>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</si>
  <si>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</si>
  <si>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</si>
  <si>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</si>
  <si>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</si>
  <si>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</si>
  <si>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</si>
  <si>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</si>
  <si>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</si>
  <si>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</si>
  <si>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</si>
  <si>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</si>
  <si>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</si>
  <si>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</si>
  <si>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</si>
  <si>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</si>
  <si>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</si>
  <si>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</si>
  <si>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</si>
  <si>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</si>
  <si>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</si>
  <si>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</si>
  <si>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</si>
  <si>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</si>
  <si>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</si>
  <si>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</si>
  <si>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</si>
  <si>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</si>
  <si>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</si>
  <si>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</si>
  <si>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</si>
  <si>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</si>
  <si>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</si>
  <si>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</si>
  <si>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</si>
  <si>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</si>
  <si>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</si>
  <si>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</si>
  <si>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</si>
  <si>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</si>
  <si>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</si>
  <si>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</si>
  <si>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</si>
  <si>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</si>
  <si>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</si>
  <si>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</si>
  <si>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</si>
  <si>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</si>
  <si>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</si>
  <si>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</si>
  <si>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</si>
  <si>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</si>
  <si>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</si>
  <si>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</si>
  <si>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</si>
  <si>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</si>
  <si>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</si>
  <si>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</si>
  <si>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</si>
  <si>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</si>
  <si>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</si>
  <si>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</si>
  <si>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</si>
  <si>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</si>
  <si>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</si>
  <si>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</si>
  <si>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</si>
  <si>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</si>
  <si>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</si>
  <si>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</si>
  <si>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</si>
  <si>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</si>
  <si>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</si>
  <si>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</si>
  <si>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</si>
  <si>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</si>
  <si>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</si>
  <si>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</si>
  <si>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</si>
  <si>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</si>
  <si>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</si>
  <si>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</si>
  <si>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</si>
  <si>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</si>
  <si>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</si>
  <si>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</si>
  <si>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</si>
  <si>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</si>
  <si>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</si>
  <si>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</si>
  <si>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</si>
  <si>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</si>
  <si>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</si>
  <si>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</si>
  <si>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</si>
  <si>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</si>
  <si>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</si>
  <si>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</si>
  <si>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</si>
  <si>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</si>
  <si>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</si>
  <si>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</si>
  <si>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</si>
  <si>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</si>
  <si>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</si>
  <si>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</si>
  <si>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</si>
  <si>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</si>
  <si>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</si>
  <si>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</si>
  <si>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</si>
  <si>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</si>
  <si>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</si>
  <si>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</si>
  <si>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</si>
  <si>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</si>
  <si>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</si>
  <si>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</si>
  <si>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</si>
  <si>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</si>
  <si>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</si>
  <si>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</si>
  <si>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</si>
  <si>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</si>
  <si>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</si>
  <si>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</si>
  <si>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</si>
  <si>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</si>
  <si>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</si>
  <si>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</si>
  <si>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</si>
  <si>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</si>
  <si>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</si>
  <si>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</si>
  <si>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</si>
  <si>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</si>
  <si>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</si>
  <si>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</si>
  <si>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</si>
  <si>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</si>
  <si>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</si>
  <si>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</si>
  <si>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</si>
  <si>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</si>
  <si>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</si>
  <si>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</si>
  <si>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</si>
  <si>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</si>
  <si>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</si>
  <si>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</si>
  <si>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</si>
  <si>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</si>
  <si>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</si>
  <si>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</si>
  <si>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</si>
  <si>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</si>
  <si>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</si>
  <si>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</si>
  <si>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</si>
  <si>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</si>
  <si>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</si>
  <si>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</si>
  <si>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</si>
  <si>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</si>
  <si>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</si>
  <si>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</si>
  <si>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</si>
  <si>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</si>
  <si>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</si>
  <si>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</si>
  <si>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</si>
  <si>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</si>
  <si>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</si>
  <si>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</si>
  <si>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</si>
  <si>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</si>
  <si>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</si>
  <si>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</si>
  <si>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</si>
  <si>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</si>
  <si>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</si>
  <si>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</si>
  <si>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</si>
  <si>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</si>
  <si>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</si>
  <si>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</si>
  <si>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</si>
  <si>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</si>
  <si>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</si>
  <si>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</si>
  <si>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</si>
  <si>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</si>
  <si>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</si>
  <si>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</si>
  <si>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</si>
  <si>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</si>
  <si>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</si>
  <si>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</si>
  <si>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</si>
  <si>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</si>
  <si>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</si>
  <si>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</si>
  <si>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</si>
  <si>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</si>
  <si>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</si>
  <si>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</si>
  <si>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</si>
  <si>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</si>
  <si>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</si>
  <si>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</si>
  <si>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</si>
  <si>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</si>
  <si>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</si>
  <si>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</si>
  <si>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</si>
  <si>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</si>
  <si>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</si>
  <si>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</si>
  <si>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</si>
  <si>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</si>
  <si>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</si>
  <si>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</si>
  <si>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</si>
  <si>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</si>
  <si>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</si>
  <si>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</si>
  <si>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</si>
  <si>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</si>
  <si>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</si>
  <si>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</si>
  <si>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</si>
  <si>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</si>
  <si>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</si>
  <si>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</si>
  <si>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</si>
  <si>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</si>
  <si>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</si>
  <si>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</si>
  <si>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</si>
  <si>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</si>
  <si>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</si>
  <si>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</si>
  <si>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</si>
  <si>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</si>
  <si>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</si>
  <si>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</si>
  <si>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</si>
  <si>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</si>
  <si>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</si>
  <si>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</si>
  <si>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</si>
  <si>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</si>
  <si>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</si>
  <si>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</si>
  <si>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</si>
  <si>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</si>
  <si>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</si>
  <si>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</si>
  <si>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</si>
  <si>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</si>
  <si>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</si>
  <si>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</si>
  <si>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</si>
  <si>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</si>
  <si>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</si>
  <si>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</si>
  <si>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</si>
  <si>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</si>
  <si>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</si>
  <si>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</si>
  <si>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</si>
  <si>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</si>
  <si>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</si>
  <si>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</si>
  <si>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</si>
  <si>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</si>
  <si>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</si>
  <si>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</si>
  <si>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</si>
  <si>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</si>
  <si>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</si>
  <si>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</si>
  <si>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</si>
  <si>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</si>
  <si>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</si>
  <si>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</si>
  <si>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</si>
  <si>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</si>
  <si>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</si>
  <si>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</si>
  <si>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</si>
  <si>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</si>
  <si>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</si>
  <si>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</si>
  <si>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</si>
  <si>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</si>
  <si>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</si>
  <si>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</si>
  <si>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</si>
  <si>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</si>
  <si>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</si>
  <si>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</si>
  <si>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</si>
  <si>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</si>
  <si>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</si>
  <si>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</si>
  <si>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</si>
  <si>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</si>
  <si>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</si>
  <si>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</si>
  <si>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</si>
  <si>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</si>
  <si>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</si>
  <si>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</si>
  <si>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</si>
  <si>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</si>
  <si>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</si>
  <si>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</si>
  <si>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</si>
  <si>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</si>
  <si>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</si>
  <si>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</si>
  <si>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</si>
  <si>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</si>
  <si>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</si>
  <si>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</si>
  <si>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</si>
  <si>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</si>
  <si>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</si>
  <si>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</si>
  <si>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</si>
  <si>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</si>
  <si>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</si>
  <si>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</si>
  <si>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</si>
  <si>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</si>
  <si>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</si>
  <si>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</si>
  <si>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</si>
  <si>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</si>
  <si>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</si>
  <si>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</si>
  <si>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</si>
  <si>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</si>
  <si>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</si>
  <si>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</si>
  <si>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</si>
  <si>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</si>
  <si>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</si>
  <si>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</si>
  <si>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</si>
  <si>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</si>
  <si>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</si>
  <si>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</si>
  <si>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</si>
  <si>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</si>
  <si>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</si>
  <si>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</si>
  <si>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</si>
  <si>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</si>
  <si>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</si>
  <si>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</si>
  <si>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</si>
  <si>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</si>
  <si>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</si>
  <si>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</si>
  <si>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</si>
  <si>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</si>
  <si>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</si>
  <si>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</si>
  <si>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</si>
  <si>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</si>
  <si>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</si>
  <si>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</si>
  <si>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</si>
  <si>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</si>
  <si>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</si>
  <si>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</si>
  <si>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</si>
  <si>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</si>
  <si>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</si>
  <si>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</si>
  <si>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</si>
  <si>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</si>
  <si>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</si>
  <si>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</si>
  <si>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</si>
  <si>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</si>
  <si>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</si>
  <si>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</si>
  <si>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</si>
  <si>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</si>
  <si>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</si>
  <si>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</si>
  <si>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</si>
  <si>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</si>
  <si>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</si>
  <si>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</si>
  <si>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</si>
  <si>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</si>
  <si>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</si>
  <si>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</si>
  <si>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</si>
  <si>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</si>
  <si>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</si>
  <si>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</si>
  <si>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</si>
  <si>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</si>
  <si>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</si>
  <si>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</si>
  <si>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</si>
  <si>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</si>
  <si>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</si>
  <si>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</si>
  <si>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</si>
  <si>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</si>
  <si>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</si>
  <si>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</si>
  <si>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</si>
  <si>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</si>
  <si>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</si>
  <si>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</si>
  <si>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</si>
  <si>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</si>
  <si>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</si>
  <si>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</si>
  <si>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</si>
  <si>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</si>
  <si>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</si>
  <si>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</si>
  <si>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</si>
  <si>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</si>
  <si>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</si>
  <si>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</si>
  <si>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</si>
  <si>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</si>
  <si>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</si>
  <si>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</si>
  <si>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</si>
  <si>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</si>
  <si>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</si>
  <si>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</si>
  <si>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</si>
  <si>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</si>
  <si>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</si>
  <si>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</si>
  <si>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</si>
  <si>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</si>
  <si>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</si>
  <si>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</si>
  <si>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</si>
  <si>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</si>
  <si>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</si>
  <si>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</si>
  <si>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</si>
  <si>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</si>
  <si>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</si>
  <si>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</si>
  <si>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</si>
  <si>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</si>
  <si>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</si>
  <si>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</si>
  <si>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</si>
  <si>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</si>
  <si>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</si>
  <si>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</si>
  <si>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</si>
  <si>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</si>
  <si>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</si>
  <si>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</si>
  <si>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</si>
  <si>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</si>
  <si>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</si>
  <si>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</si>
  <si>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</si>
  <si>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</si>
  <si>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</si>
  <si>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</si>
  <si>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</si>
  <si>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</si>
  <si>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</si>
  <si>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</si>
  <si>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</si>
  <si>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</si>
  <si>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</si>
  <si>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</si>
  <si>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</si>
  <si>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</si>
  <si>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</si>
  <si>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</si>
  <si>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</si>
  <si>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</si>
  <si>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</si>
  <si>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</si>
  <si>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</si>
  <si>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</si>
  <si>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</si>
  <si>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</si>
  <si>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</si>
  <si>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</si>
  <si>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</si>
  <si>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</si>
  <si>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</si>
  <si>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</si>
  <si>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</si>
  <si>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</si>
  <si>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</si>
  <si>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</si>
  <si>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</si>
  <si>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</si>
  <si>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</si>
  <si>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</si>
  <si>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</si>
  <si>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</si>
  <si>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</si>
  <si>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</si>
  <si>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</si>
  <si>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</si>
  <si>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</si>
  <si>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</si>
  <si>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</si>
  <si>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</si>
  <si>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</si>
  <si>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</si>
  <si>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</si>
  <si>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</si>
  <si>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</si>
  <si>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</si>
  <si>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</si>
  <si>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</si>
  <si>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</si>
  <si>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</si>
  <si>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</si>
  <si>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</si>
  <si>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</si>
  <si>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</si>
  <si>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</si>
  <si>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</si>
  <si>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</si>
  <si>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</si>
  <si>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</si>
  <si>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</si>
  <si>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</si>
  <si>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</si>
  <si>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</si>
  <si>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</si>
  <si>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</si>
  <si>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</si>
  <si>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</si>
  <si>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</si>
  <si>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</si>
  <si>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</si>
  <si>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</si>
  <si>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</si>
  <si>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</si>
  <si>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</si>
  <si>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</si>
  <si>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</si>
  <si>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</si>
  <si>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</si>
  <si>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</si>
  <si>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</si>
  <si>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</si>
  <si>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</si>
  <si>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</si>
  <si>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</si>
  <si>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</si>
  <si>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</si>
  <si>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</si>
  <si>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</si>
  <si>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</si>
  <si>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</si>
  <si>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</si>
  <si>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</si>
  <si>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</si>
  <si>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</si>
  <si>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</si>
  <si>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</si>
  <si>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</si>
  <si>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</si>
  <si>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</si>
  <si>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</si>
  <si>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</si>
  <si>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</si>
  <si>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</si>
  <si>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</si>
  <si>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</si>
  <si>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</si>
  <si>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</si>
  <si>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</si>
  <si>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</si>
  <si>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</si>
  <si>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</si>
  <si>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</si>
  <si>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</si>
  <si>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</si>
  <si>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</si>
  <si>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</si>
  <si>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</si>
  <si>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</si>
  <si>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</si>
  <si>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</si>
  <si>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</si>
  <si>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</si>
  <si>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</si>
  <si>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</si>
  <si>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</si>
  <si>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</si>
  <si>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</si>
  <si>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</si>
  <si>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</si>
  <si>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</si>
  <si>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</si>
  <si>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</si>
  <si>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</si>
  <si>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</si>
  <si>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</si>
  <si>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</si>
  <si>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</si>
  <si>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</si>
  <si>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</si>
  <si>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</si>
  <si>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</si>
  <si>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</si>
  <si>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</si>
  <si>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</si>
  <si>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</si>
  <si>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</si>
  <si>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</si>
  <si>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</si>
  <si>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</si>
  <si>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</si>
  <si>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</si>
  <si>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</si>
  <si>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</si>
  <si>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</si>
  <si>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</si>
  <si>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</si>
  <si>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</si>
  <si>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</si>
  <si>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</si>
  <si>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</si>
  <si>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</si>
  <si>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</si>
  <si>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</si>
  <si>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</si>
  <si>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</si>
  <si>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</si>
  <si>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</si>
  <si>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</si>
  <si>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</si>
  <si>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</si>
  <si>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</si>
  <si>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</si>
  <si>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</si>
  <si>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</si>
  <si>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</si>
  <si>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</si>
  <si>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</si>
  <si>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</si>
  <si>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</si>
  <si>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</si>
  <si>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</si>
  <si>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</si>
  <si>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</si>
  <si>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</si>
  <si>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</si>
  <si>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</si>
  <si>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</si>
  <si>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</si>
  <si>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</si>
  <si>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</si>
  <si>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</si>
  <si>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</si>
  <si>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</si>
  <si>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</si>
  <si>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</si>
  <si>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</si>
  <si>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</si>
  <si>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</si>
  <si>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</si>
  <si>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</si>
  <si>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</si>
  <si>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</si>
  <si>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</si>
  <si>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</si>
  <si>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</si>
  <si>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</si>
  <si>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</si>
  <si>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</si>
  <si>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</si>
  <si>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</si>
  <si>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</si>
  <si>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</si>
  <si>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</si>
  <si>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</si>
  <si>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</si>
  <si>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</si>
  <si>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</si>
  <si>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</si>
  <si>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</si>
  <si>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</si>
  <si>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</si>
  <si>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</si>
  <si>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</si>
  <si>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</si>
  <si>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</si>
  <si>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</si>
  <si>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</si>
  <si>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</si>
  <si>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</si>
  <si>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</si>
  <si>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</si>
  <si>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</si>
  <si>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</si>
  <si>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</si>
  <si>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</si>
  <si>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</si>
  <si>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</si>
  <si>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</si>
  <si>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</si>
  <si>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</si>
  <si>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</si>
  <si>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</si>
  <si>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</si>
  <si>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</si>
  <si>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</si>
  <si>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</si>
  <si>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</si>
  <si>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</si>
  <si>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</si>
  <si>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</si>
  <si>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</si>
  <si>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</si>
  <si>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</si>
  <si>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</si>
  <si>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</si>
  <si>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</si>
  <si>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</si>
  <si>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</si>
  <si>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</si>
  <si>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</si>
  <si>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</si>
  <si>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</si>
  <si>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</si>
  <si>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</si>
  <si>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</si>
  <si>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</si>
  <si>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</si>
  <si>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</si>
  <si>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</si>
  <si>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</si>
  <si>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</si>
  <si>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</si>
  <si>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</si>
  <si>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</si>
  <si>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</si>
  <si>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</si>
  <si>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</si>
  <si>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</si>
  <si>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</si>
  <si>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</si>
  <si>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</si>
  <si>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</si>
  <si>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</si>
  <si>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</si>
  <si>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</si>
  <si>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</si>
  <si>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</si>
  <si>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</si>
  <si>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</si>
  <si>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</si>
  <si>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</si>
  <si>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</si>
  <si>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</si>
  <si>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</si>
  <si>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</si>
  <si>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</si>
  <si>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</si>
  <si>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</si>
  <si>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</si>
  <si>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</si>
  <si>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</si>
  <si>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</si>
  <si>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</si>
  <si>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</si>
  <si>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</si>
  <si>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</si>
  <si>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</si>
  <si>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</si>
  <si>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</si>
  <si>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</si>
  <si>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</si>
  <si>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</si>
  <si>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</si>
  <si>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</si>
  <si>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</si>
  <si>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</si>
  <si>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</si>
  <si>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</si>
  <si>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</si>
  <si>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</si>
  <si>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</si>
  <si>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</si>
  <si>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</si>
  <si>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</si>
  <si>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</si>
  <si>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</si>
  <si>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</si>
  <si>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</si>
  <si>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</si>
  <si>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</si>
  <si>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</si>
  <si>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</si>
  <si>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</si>
  <si>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</si>
  <si>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</si>
  <si>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</si>
  <si>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</si>
  <si>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</si>
  <si>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</si>
  <si>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</si>
  <si>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</si>
  <si>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</si>
  <si>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</si>
  <si>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</si>
  <si>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</si>
  <si>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</si>
  <si>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</si>
  <si>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</si>
  <si>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</si>
  <si>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</si>
  <si>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</si>
  <si>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</si>
  <si>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</si>
  <si>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</si>
  <si>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</si>
  <si>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</si>
  <si>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</si>
  <si>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</si>
  <si>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</si>
  <si>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</si>
  <si>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</si>
  <si>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</si>
  <si>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</si>
  <si>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</si>
  <si>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</si>
  <si>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</si>
  <si>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</si>
  <si>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</si>
  <si>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</si>
  <si>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</si>
  <si>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</si>
  <si>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</si>
  <si>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</si>
  <si>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</si>
  <si>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</si>
  <si>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</si>
  <si>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</si>
  <si>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</si>
  <si>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</si>
  <si>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</si>
  <si>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</si>
  <si>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</si>
  <si>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</si>
  <si>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</si>
  <si>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</si>
  <si>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</si>
  <si>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</si>
  <si>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</si>
  <si>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</si>
  <si>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</si>
  <si>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</si>
  <si>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</si>
  <si>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</si>
  <si>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</si>
  <si>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</si>
  <si>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</si>
  <si>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</si>
  <si>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</si>
  <si>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</si>
  <si>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</si>
  <si>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</si>
  <si>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</si>
  <si>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</si>
  <si>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</si>
  <si>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</si>
  <si>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</si>
  <si>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</si>
  <si>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</si>
  <si>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</si>
  <si>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</si>
  <si>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</si>
  <si>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</si>
  <si>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</si>
  <si>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</si>
  <si>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</si>
  <si>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</si>
  <si>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</si>
  <si>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</si>
  <si>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</si>
  <si>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</si>
  <si>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</si>
  <si>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</si>
  <si>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</si>
  <si>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</si>
  <si>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</si>
  <si>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</si>
  <si>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</si>
  <si>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</si>
  <si>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</si>
  <si>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</si>
  <si>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</si>
  <si>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</si>
  <si>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</si>
  <si>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</si>
  <si>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</si>
  <si>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</si>
  <si>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</si>
  <si>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</si>
  <si>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</si>
  <si>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</si>
  <si>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</si>
  <si>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</si>
  <si>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</si>
  <si>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</si>
  <si>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</si>
  <si>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</si>
  <si>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</si>
  <si>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</si>
  <si>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</si>
  <si>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</si>
  <si>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</si>
  <si>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</si>
  <si>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</si>
  <si>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</si>
  <si>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</si>
  <si>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</si>
  <si>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</si>
  <si>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</si>
  <si>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</si>
  <si>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</si>
  <si>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</si>
  <si>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</si>
  <si>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</si>
  <si>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</si>
  <si>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</si>
  <si>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</si>
  <si>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</si>
  <si>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</si>
  <si>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</si>
  <si>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</si>
  <si>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</si>
  <si>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</si>
  <si>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</si>
  <si>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</si>
  <si>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</si>
  <si>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</si>
  <si>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</si>
  <si>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</si>
  <si>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</si>
  <si>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</si>
  <si>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</si>
  <si>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</si>
  <si>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</si>
  <si>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</si>
  <si>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</si>
  <si>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</si>
  <si>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</si>
  <si>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</si>
  <si>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</si>
  <si>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</si>
  <si>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</si>
  <si>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</si>
  <si>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</si>
  <si>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</si>
  <si>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</si>
  <si>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</si>
  <si>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</si>
  <si>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</si>
  <si>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</si>
  <si>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</si>
  <si>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</si>
  <si>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</si>
  <si>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</si>
  <si>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</si>
  <si>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</si>
  <si>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</si>
  <si>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</si>
  <si>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</si>
  <si>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</si>
  <si>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</si>
  <si>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</si>
  <si>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</si>
  <si>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</si>
  <si>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</si>
  <si>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</si>
  <si>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</si>
  <si>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</si>
  <si>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</si>
  <si>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</si>
  <si>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</si>
  <si>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</si>
  <si>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</si>
  <si>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</si>
  <si>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</si>
  <si>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</si>
  <si>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</si>
  <si>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</si>
  <si>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</si>
  <si>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</si>
  <si>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</si>
  <si>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</si>
  <si>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</si>
  <si>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</si>
  <si>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</si>
  <si>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</si>
  <si>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</si>
  <si>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</si>
  <si>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</si>
  <si>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</si>
  <si>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</si>
  <si>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</si>
  <si>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</si>
  <si>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</si>
  <si>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</si>
  <si>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</si>
  <si>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</si>
  <si>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</si>
  <si>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</si>
  <si>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</si>
  <si>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</si>
  <si>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</si>
  <si>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</si>
  <si>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</si>
  <si>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</si>
  <si>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</si>
  <si>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</si>
  <si>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</si>
  <si>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</si>
  <si>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</si>
  <si>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</si>
  <si>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</si>
  <si>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</si>
  <si>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</si>
  <si>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</si>
  <si>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</si>
  <si>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</si>
  <si>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</si>
  <si>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</si>
  <si>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</si>
  <si>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</si>
  <si>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</si>
  <si>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</si>
  <si>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</si>
  <si>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</si>
  <si>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</si>
  <si>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</si>
  <si>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</si>
  <si>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</si>
  <si>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</si>
  <si>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</si>
  <si>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</si>
  <si>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</si>
  <si>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</si>
  <si>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</si>
  <si>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</si>
  <si>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</si>
  <si>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</si>
  <si>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</si>
  <si>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</si>
  <si>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</si>
  <si>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</si>
  <si>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</si>
  <si>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</si>
  <si>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</si>
  <si>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</si>
  <si>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</si>
  <si>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</si>
  <si>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</si>
  <si>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</si>
  <si>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</si>
  <si>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</si>
  <si>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</si>
  <si>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</si>
  <si>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</si>
  <si>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</si>
  <si>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</si>
  <si>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</si>
  <si>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</si>
  <si>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</si>
  <si>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</si>
  <si>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</si>
  <si>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</si>
  <si>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</si>
  <si>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</si>
  <si>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</si>
  <si>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</si>
  <si>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</si>
  <si>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</si>
  <si>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</si>
  <si>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</si>
  <si>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</si>
  <si>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</si>
  <si>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</si>
  <si>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</si>
  <si>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</si>
  <si>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</si>
  <si>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</si>
  <si>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</si>
  <si>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</si>
  <si>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</si>
  <si>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</si>
  <si>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</si>
  <si>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</si>
  <si>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</si>
  <si>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</si>
  <si>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</si>
  <si>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</si>
  <si>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</si>
  <si>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</si>
  <si>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</si>
  <si>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</si>
  <si>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</si>
  <si>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</si>
  <si>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</si>
  <si>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</si>
  <si>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</si>
  <si>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</si>
  <si>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</si>
  <si>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</si>
  <si>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</si>
  <si>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</si>
  <si>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</si>
  <si>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</si>
  <si>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</si>
  <si>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</si>
  <si>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</si>
  <si>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</si>
  <si>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</si>
  <si>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</si>
  <si>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</si>
  <si>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</si>
  <si>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</si>
  <si>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</si>
  <si>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</si>
  <si>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</si>
  <si>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</si>
  <si>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</si>
  <si>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</si>
  <si>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</si>
  <si>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</si>
  <si>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</si>
  <si>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</si>
  <si>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</si>
  <si>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</si>
  <si>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</si>
  <si>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</si>
  <si>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</si>
  <si>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</si>
  <si>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</si>
  <si>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</si>
  <si>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</si>
  <si>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</si>
  <si>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</si>
  <si>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</si>
  <si>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</si>
  <si>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</si>
  <si>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</si>
  <si>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</si>
  <si>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</si>
  <si>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</si>
  <si>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</si>
  <si>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</si>
  <si>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</si>
  <si>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</si>
  <si>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</si>
  <si>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</si>
  <si>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</si>
  <si>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</si>
  <si>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</si>
  <si>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</si>
  <si>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</si>
  <si>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</si>
  <si>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</si>
  <si>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</si>
  <si>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</si>
  <si>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</si>
  <si>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</si>
  <si>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</si>
  <si>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</si>
  <si>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</si>
  <si>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</si>
  <si>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</si>
  <si>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</si>
  <si>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</si>
  <si>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</si>
  <si>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</si>
  <si>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</si>
  <si>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</si>
  <si>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</si>
  <si>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</si>
  <si>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</si>
  <si>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</si>
  <si>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</si>
  <si>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</si>
  <si>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</si>
  <si>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</si>
  <si>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</si>
  <si>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</si>
  <si>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</si>
  <si>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</si>
  <si>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</si>
  <si>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</si>
  <si>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</si>
  <si>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</si>
  <si>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</si>
  <si>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</si>
  <si>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</si>
  <si>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</si>
  <si>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</si>
  <si>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</si>
  <si>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</si>
  <si>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</si>
  <si>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</si>
  <si>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</si>
  <si>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</si>
  <si>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</si>
  <si>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</si>
  <si>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</si>
  <si>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</si>
  <si>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</si>
  <si>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</si>
  <si>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</si>
  <si>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</si>
  <si>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</si>
  <si>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</si>
  <si>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</si>
  <si>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</si>
  <si>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</si>
  <si>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</si>
  <si>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</si>
  <si>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</si>
  <si>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</si>
  <si>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</si>
  <si>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</si>
  <si>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</si>
  <si>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</si>
  <si>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</si>
  <si>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</si>
  <si>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</si>
  <si>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</si>
  <si>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</si>
  <si>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</si>
  <si>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</si>
  <si>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</si>
  <si>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</si>
  <si>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</si>
  <si>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</si>
  <si>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</si>
  <si>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</si>
  <si>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</si>
  <si>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</si>
  <si>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</si>
  <si>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</si>
  <si>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</si>
  <si>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</si>
  <si>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</si>
  <si>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</si>
  <si>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</si>
  <si>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</si>
  <si>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</si>
  <si>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</si>
  <si>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</si>
  <si>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</si>
  <si>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</si>
  <si>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</si>
  <si>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</si>
  <si>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</si>
  <si>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</si>
  <si>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</si>
  <si>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</si>
  <si>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</si>
  <si>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</si>
  <si>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</si>
  <si>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</si>
  <si>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</si>
  <si>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</si>
  <si>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</si>
  <si>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</si>
  <si>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</si>
  <si>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</si>
  <si>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</si>
  <si>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</si>
  <si>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</si>
  <si>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</si>
  <si>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</si>
  <si>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</si>
  <si>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</si>
  <si>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</si>
  <si>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</si>
  <si>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</si>
  <si>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</si>
  <si>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</si>
  <si>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</si>
  <si>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</si>
  <si>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</si>
  <si>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</si>
  <si>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</si>
  <si>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</si>
  <si>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</si>
  <si>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</si>
  <si>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</si>
  <si>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</si>
  <si>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</si>
  <si>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</si>
  <si>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</si>
  <si>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</si>
  <si>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</si>
  <si>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</si>
  <si>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</si>
  <si>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</si>
  <si>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</si>
  <si>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</si>
  <si>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</si>
  <si>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</si>
  <si>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</si>
  <si>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</si>
  <si>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</si>
  <si>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</si>
  <si>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</si>
  <si>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</si>
  <si>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</si>
  <si>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</si>
  <si>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</si>
  <si>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</si>
  <si>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</si>
  <si>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</si>
  <si>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</si>
  <si>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</si>
  <si>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</si>
  <si>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</si>
  <si>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</si>
  <si>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</si>
  <si>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</si>
  <si>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</si>
  <si>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</si>
  <si>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</si>
  <si>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</si>
  <si>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</si>
  <si>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</si>
  <si>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</si>
  <si>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</si>
  <si>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</si>
  <si>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</si>
  <si>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</si>
  <si>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</si>
  <si>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</si>
  <si>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</si>
  <si>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</si>
  <si>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</si>
  <si>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</si>
  <si>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</si>
  <si>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</si>
  <si>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</si>
  <si>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</si>
  <si>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</si>
  <si>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</si>
  <si>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</si>
  <si>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</si>
  <si>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</si>
  <si>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</si>
  <si>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</si>
  <si>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</si>
  <si>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</si>
  <si>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</si>
  <si>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</si>
  <si>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</si>
  <si>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</si>
  <si>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</si>
  <si>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</si>
  <si>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</si>
  <si>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</si>
  <si>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</si>
  <si>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</si>
  <si>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</si>
  <si>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</si>
  <si>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</si>
  <si>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</si>
  <si>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</si>
  <si>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</si>
  <si>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</si>
  <si>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</si>
  <si>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</si>
  <si>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</si>
  <si>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</si>
  <si>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</si>
  <si>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</si>
  <si>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</si>
  <si>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</si>
  <si>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</si>
  <si>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</si>
  <si>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</si>
  <si>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</si>
  <si>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</si>
  <si>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</si>
  <si>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</si>
  <si>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</si>
  <si>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</si>
  <si>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</si>
  <si>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</si>
  <si>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</si>
  <si>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</si>
  <si>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</si>
  <si>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</si>
  <si>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</si>
  <si>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</si>
  <si>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</si>
  <si>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</si>
  <si>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</si>
  <si>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</si>
  <si>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</si>
  <si>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</si>
  <si>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</si>
  <si>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</si>
  <si>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</si>
  <si>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</si>
  <si>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</si>
  <si>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</si>
  <si>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</si>
  <si>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</si>
  <si>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</si>
  <si>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</si>
  <si>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</si>
  <si>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</si>
  <si>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</si>
  <si>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</si>
  <si>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</si>
  <si>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</si>
  <si>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</si>
  <si>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</si>
  <si>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</si>
  <si>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</si>
  <si>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</si>
  <si>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</si>
  <si>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</si>
  <si>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</si>
  <si>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</si>
  <si>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</si>
  <si>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</si>
  <si>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</si>
  <si>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</si>
  <si>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</si>
  <si>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</si>
  <si>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</si>
  <si>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</si>
  <si>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</si>
  <si>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</si>
  <si>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</si>
  <si>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</si>
  <si>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</si>
  <si>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</si>
  <si>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</si>
  <si>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</si>
  <si>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</si>
  <si>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</si>
  <si>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</si>
  <si>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</si>
  <si>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</si>
  <si>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</si>
  <si>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</si>
  <si>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</si>
  <si>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</si>
  <si>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</si>
  <si>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</si>
  <si>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</si>
  <si>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</si>
  <si>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</si>
  <si>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</si>
  <si>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</si>
  <si>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</si>
  <si>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</si>
  <si>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</si>
  <si>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</si>
  <si>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</si>
  <si>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</si>
  <si>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</si>
  <si>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</si>
  <si>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</si>
  <si>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</si>
  <si>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</si>
  <si>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</si>
  <si>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</si>
  <si>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</si>
  <si>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</si>
  <si>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</si>
  <si>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</si>
  <si>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</si>
  <si>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</si>
  <si>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</si>
  <si>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</si>
  <si>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</si>
  <si>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</si>
  <si>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</si>
  <si>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</si>
  <si>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</si>
  <si>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</si>
  <si>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</si>
  <si>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</si>
  <si>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</si>
  <si>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</si>
  <si>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</si>
  <si>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</si>
  <si>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</si>
  <si>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</si>
  <si>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</si>
  <si>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</si>
  <si>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</si>
  <si>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</si>
  <si>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</si>
  <si>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</si>
  <si>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</si>
  <si>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</si>
  <si>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</si>
  <si>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</si>
  <si>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</si>
  <si>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</si>
  <si>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</si>
  <si>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</si>
  <si>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</si>
  <si>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</si>
  <si>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</si>
  <si>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</si>
  <si>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</si>
  <si>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</si>
  <si>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</si>
  <si>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</si>
  <si>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</si>
  <si>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</si>
  <si>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</si>
  <si>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</si>
  <si>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</si>
  <si>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</si>
  <si>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</si>
  <si>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</si>
  <si>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</si>
  <si>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</si>
  <si>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</si>
  <si>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</si>
  <si>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</si>
  <si>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</si>
  <si>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</si>
  <si>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</si>
  <si>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</si>
  <si>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</si>
  <si>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</si>
  <si>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</si>
  <si>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</si>
  <si>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</si>
  <si>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</si>
  <si>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</si>
  <si>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</si>
  <si>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</si>
  <si>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</si>
  <si>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</si>
  <si>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</si>
  <si>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</si>
  <si>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</si>
  <si>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</si>
  <si>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</si>
  <si>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</si>
  <si>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</si>
  <si>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</si>
  <si>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</si>
  <si>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</si>
  <si>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</si>
  <si>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</si>
  <si>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</si>
  <si>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</si>
  <si>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</si>
  <si>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</si>
  <si>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</si>
  <si>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</si>
  <si>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</si>
  <si>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</si>
  <si>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</si>
  <si>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</si>
  <si>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</si>
  <si>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</si>
  <si>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</si>
  <si>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</si>
  <si>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</si>
  <si>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</si>
  <si>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</si>
  <si>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</si>
  <si>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</si>
  <si>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</si>
  <si>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</si>
  <si>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</si>
  <si>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</si>
  <si>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</si>
  <si>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</si>
  <si>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</si>
  <si>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</si>
  <si>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</si>
  <si>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</si>
  <si>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</si>
  <si>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</si>
  <si>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</si>
  <si>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</si>
  <si>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</si>
  <si>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</si>
  <si>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</si>
  <si>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</si>
  <si>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</si>
  <si>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</si>
  <si>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</si>
  <si>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</si>
  <si>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</si>
  <si>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</si>
  <si>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</si>
  <si>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</si>
  <si>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</si>
  <si>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</si>
  <si>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</si>
  <si>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</si>
  <si>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</si>
  <si>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</si>
  <si>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</si>
  <si>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</si>
  <si>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</si>
  <si>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</si>
  <si>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</si>
  <si>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</si>
  <si>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</si>
  <si>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</si>
  <si>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</si>
  <si>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</si>
  <si>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</si>
  <si>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</si>
  <si>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</si>
  <si>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</si>
  <si>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</si>
  <si>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</si>
  <si>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</si>
  <si>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</si>
  <si>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</si>
  <si>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</si>
  <si>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</si>
  <si>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</si>
  <si>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</si>
  <si>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</si>
  <si>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</si>
  <si>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</si>
  <si>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</si>
  <si>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</si>
  <si>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</si>
  <si>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</si>
  <si>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</si>
  <si>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</si>
  <si>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</si>
  <si>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</si>
  <si>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</si>
  <si>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</si>
  <si>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</si>
  <si>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</si>
  <si>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</si>
  <si>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</si>
  <si>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</si>
  <si>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</si>
  <si>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</si>
  <si>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</si>
  <si>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</si>
  <si>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</si>
  <si>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</si>
  <si>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</si>
  <si>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</si>
  <si>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</si>
  <si>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</si>
  <si>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</si>
  <si>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</si>
  <si>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</si>
  <si>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</si>
  <si>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</si>
  <si>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</si>
  <si>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</si>
  <si>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</si>
  <si>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</si>
  <si>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</si>
  <si>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</si>
  <si>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</si>
  <si>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</si>
  <si>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</si>
  <si>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</si>
  <si>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</si>
  <si>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</si>
  <si>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</si>
  <si>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</si>
  <si>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</si>
  <si>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</si>
  <si>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</si>
  <si>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</si>
  <si>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</si>
  <si>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</si>
  <si>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</si>
  <si>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</si>
  <si>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</si>
  <si>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</si>
  <si>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</si>
  <si>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</si>
  <si>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</si>
  <si>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</si>
  <si>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</si>
  <si>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</si>
  <si>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</si>
  <si>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</si>
  <si>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</si>
  <si>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</si>
  <si>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</si>
  <si>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</si>
  <si>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</si>
  <si>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</si>
  <si>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</si>
  <si>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</si>
  <si>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</si>
  <si>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</si>
  <si>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</si>
  <si>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</si>
  <si>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</si>
  <si>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</si>
  <si>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</si>
  <si>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</si>
  <si>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</si>
  <si>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</si>
  <si>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</si>
  <si>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</si>
  <si>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</si>
  <si>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</si>
  <si>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</si>
  <si>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</si>
  <si>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</si>
  <si>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</si>
  <si>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</si>
  <si>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</si>
  <si>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</si>
  <si>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</si>
  <si>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</si>
  <si>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</si>
  <si>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</si>
  <si>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</si>
  <si>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</si>
  <si>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</si>
  <si>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</si>
  <si>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</si>
  <si>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</si>
  <si>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</si>
  <si>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</si>
  <si>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</si>
  <si>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</si>
  <si>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</si>
  <si>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</si>
  <si>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</si>
  <si>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</si>
  <si>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</si>
  <si>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</si>
  <si>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</si>
  <si>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</si>
  <si>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</si>
  <si>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</si>
  <si>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</si>
  <si>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</si>
  <si>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</si>
  <si>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</si>
  <si>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</si>
  <si>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</si>
  <si>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</si>
  <si>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</si>
  <si>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</si>
  <si>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</si>
  <si>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</si>
  <si>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</si>
  <si>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</si>
  <si>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</si>
  <si>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</si>
  <si>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</si>
  <si>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</si>
  <si>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</si>
  <si>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</si>
  <si>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</si>
  <si>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</si>
  <si>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</si>
  <si>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</si>
  <si>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</si>
  <si>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</si>
  <si>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</si>
  <si>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</si>
  <si>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</si>
  <si>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</si>
  <si>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</si>
  <si>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</si>
  <si>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</si>
  <si>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</si>
  <si>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</si>
  <si>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</si>
  <si>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</si>
  <si>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</si>
  <si>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</si>
  <si>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</si>
  <si>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</si>
  <si>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</si>
  <si>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</si>
  <si>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</si>
  <si>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</si>
  <si>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</si>
  <si>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</si>
  <si>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</si>
  <si>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</si>
  <si>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</si>
  <si>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</si>
  <si>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</si>
  <si>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</si>
  <si>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</si>
  <si>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</si>
  <si>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</si>
  <si>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</si>
  <si>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</si>
  <si>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</si>
  <si>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</si>
  <si>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</si>
  <si>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</si>
  <si>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</si>
  <si>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</si>
  <si>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</si>
  <si>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</si>
  <si>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</si>
  <si>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</si>
  <si>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</si>
  <si>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</si>
  <si>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</si>
  <si>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</si>
  <si>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</si>
  <si>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</si>
  <si>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</si>
  <si>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</si>
  <si>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</si>
  <si>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</si>
  <si>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</si>
  <si>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</si>
  <si>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</si>
  <si>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</si>
  <si>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</si>
  <si>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</si>
  <si>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</si>
  <si>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</si>
  <si>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</si>
  <si>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</si>
  <si>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</si>
  <si>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</si>
  <si>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</si>
  <si>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</si>
  <si>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</si>
  <si>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</si>
  <si>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</si>
  <si>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</si>
  <si>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</si>
  <si>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</si>
  <si>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</si>
  <si>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</si>
  <si>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</si>
  <si>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</si>
  <si>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</si>
  <si>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</si>
  <si>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</si>
  <si>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</si>
  <si>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</si>
  <si>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</si>
  <si>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</si>
  <si>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</si>
  <si>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</si>
  <si>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</si>
  <si>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</si>
  <si>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</si>
  <si>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</si>
  <si>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</si>
  <si>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</si>
  <si>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</si>
  <si>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</si>
  <si>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</si>
  <si>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</si>
  <si>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</si>
  <si>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</si>
  <si>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</si>
  <si>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</si>
  <si>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</si>
  <si>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</si>
  <si>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</si>
  <si>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</si>
  <si>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</si>
  <si>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</si>
  <si>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</si>
  <si>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</si>
  <si>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</si>
  <si>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</si>
  <si>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</si>
  <si>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</si>
  <si>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</si>
  <si>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</si>
  <si>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</si>
  <si>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</si>
  <si>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</si>
  <si>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</si>
  <si>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</si>
  <si>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</si>
  <si>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</si>
  <si>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</si>
  <si>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</si>
  <si>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</si>
  <si>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</si>
  <si>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</si>
  <si>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</si>
  <si>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</si>
  <si>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</si>
  <si>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</si>
  <si>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</si>
  <si>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</si>
  <si>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</si>
  <si>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</si>
  <si>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</si>
  <si>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</si>
  <si>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</si>
  <si>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</si>
  <si>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</si>
  <si>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</si>
  <si>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</si>
  <si>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</si>
  <si>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</si>
  <si>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</si>
  <si>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</si>
  <si>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</si>
  <si>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</si>
  <si>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</si>
  <si>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</si>
  <si>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</si>
  <si>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</si>
  <si>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</si>
  <si>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</si>
  <si>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</si>
  <si>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</si>
  <si>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</si>
  <si>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</si>
  <si>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</si>
  <si>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</si>
  <si>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</si>
  <si>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</si>
  <si>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</si>
  <si>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</si>
  <si>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</si>
  <si>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</si>
  <si>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</si>
  <si>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</si>
  <si>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</si>
  <si>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</si>
  <si>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</si>
  <si>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</si>
  <si>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</si>
  <si>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</si>
  <si>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</si>
  <si>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</si>
  <si>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</si>
  <si>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</si>
  <si>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</si>
  <si>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</si>
  <si>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</si>
  <si>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</si>
  <si>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</si>
  <si>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</si>
  <si>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</si>
  <si>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</si>
  <si>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</si>
  <si>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</si>
  <si>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</si>
  <si>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</si>
  <si>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</si>
  <si>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</si>
  <si>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</si>
  <si>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</si>
  <si>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</si>
  <si>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</si>
  <si>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</si>
  <si>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</si>
  <si>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</si>
  <si>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</si>
  <si>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</si>
  <si>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</si>
  <si>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</si>
  <si>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</si>
  <si>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</si>
  <si>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</si>
  <si>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</si>
  <si>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</si>
  <si>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</si>
  <si>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</si>
  <si>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</si>
  <si>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</si>
  <si>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</si>
  <si>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</si>
  <si>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</si>
  <si>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</si>
  <si>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</si>
  <si>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</si>
  <si>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</si>
  <si>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</si>
  <si>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</si>
  <si>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</si>
  <si>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</si>
  <si>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</si>
  <si>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</si>
  <si>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</si>
  <si>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</si>
  <si>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</si>
  <si>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</si>
  <si>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</si>
  <si>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</si>
  <si>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</si>
  <si>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</si>
  <si>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</si>
  <si>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</si>
  <si>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</si>
  <si>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</si>
  <si>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</si>
  <si>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</si>
  <si>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</si>
  <si>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</si>
  <si>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</si>
  <si>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</si>
  <si>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</si>
  <si>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</si>
  <si>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</si>
  <si>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</si>
  <si>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</si>
  <si>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</si>
  <si>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</si>
  <si>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</si>
  <si>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</si>
  <si>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</si>
  <si>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</si>
  <si>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</si>
  <si>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</si>
  <si>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</si>
  <si>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</si>
  <si>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</si>
  <si>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</si>
  <si>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</si>
  <si>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</si>
  <si>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</si>
  <si>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</si>
  <si>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</si>
  <si>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</si>
  <si>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</si>
  <si>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</si>
  <si>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</si>
  <si>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</si>
  <si>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</si>
  <si>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</si>
  <si>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</si>
  <si>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</si>
  <si>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</si>
  <si>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</si>
  <si>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</si>
  <si>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</si>
  <si>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</si>
  <si>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</si>
  <si>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</si>
  <si>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</si>
  <si>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</si>
  <si>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</si>
  <si>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</si>
  <si>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</si>
  <si>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</si>
  <si>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</si>
  <si>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</si>
  <si>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</si>
  <si>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</si>
  <si>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</si>
  <si>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</si>
  <si>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</si>
  <si>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</si>
  <si>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</si>
  <si>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</si>
  <si>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</si>
  <si>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</si>
  <si>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</si>
  <si>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</si>
  <si>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</si>
  <si>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</si>
  <si>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</si>
  <si>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</si>
  <si>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</si>
  <si>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</si>
  <si>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</si>
  <si>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</si>
  <si>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</si>
  <si>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</si>
  <si>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</si>
  <si>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</si>
  <si>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</si>
  <si>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</si>
  <si>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</si>
  <si>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</si>
  <si>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</si>
  <si>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</si>
  <si>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</si>
  <si>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</si>
  <si>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</si>
  <si>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</si>
  <si>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</si>
  <si>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</si>
  <si>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</si>
  <si>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</si>
  <si>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</si>
  <si>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</si>
  <si>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</si>
  <si>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</si>
  <si>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</si>
  <si>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</si>
  <si>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</si>
  <si>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</si>
  <si>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</si>
  <si>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</si>
  <si>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</si>
  <si>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</si>
  <si>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</si>
  <si>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</si>
  <si>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</si>
  <si>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</si>
  <si>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</si>
  <si>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</si>
  <si>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</si>
  <si>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</si>
  <si>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</si>
  <si>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</si>
  <si>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</si>
  <si>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</si>
  <si>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</si>
  <si>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</si>
  <si>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</si>
  <si>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</si>
  <si>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</si>
  <si>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</si>
  <si>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</si>
  <si>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</si>
  <si>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</si>
  <si>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</si>
  <si>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</si>
  <si>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</si>
  <si>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</si>
  <si>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</si>
  <si>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</si>
  <si>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</si>
  <si>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</si>
  <si>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</si>
  <si>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</si>
  <si>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</si>
  <si>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</si>
  <si>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</si>
  <si>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</si>
  <si>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</si>
  <si>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</si>
  <si>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</si>
  <si>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</si>
  <si>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</si>
  <si>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</si>
  <si>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</si>
  <si>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</si>
  <si>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</si>
  <si>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</si>
  <si>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</si>
  <si>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</si>
  <si>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</si>
  <si>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</si>
  <si>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</si>
  <si>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</si>
  <si>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</si>
  <si>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</si>
  <si>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</si>
  <si>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</si>
  <si>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</si>
  <si>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</si>
  <si>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</si>
  <si>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</si>
  <si>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</si>
  <si>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</si>
  <si>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</si>
  <si>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</si>
  <si>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</si>
  <si>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</si>
  <si>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</si>
  <si>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</si>
  <si>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</si>
  <si>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</si>
  <si>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</si>
  <si>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</si>
  <si>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</si>
  <si>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</si>
  <si>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</si>
  <si>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</si>
  <si>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</si>
  <si>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</si>
  <si>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</si>
  <si>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</si>
  <si>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</si>
  <si>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</si>
  <si>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</si>
  <si>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</si>
  <si>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</si>
  <si>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</si>
  <si>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</si>
  <si>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</si>
  <si>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</si>
  <si>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</si>
  <si>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</si>
  <si>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</si>
  <si>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</si>
  <si>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</si>
  <si>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</si>
  <si>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</si>
  <si>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</si>
  <si>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</si>
  <si>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</si>
  <si>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</si>
  <si>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</si>
  <si>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</si>
  <si>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</si>
  <si>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</si>
  <si>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</si>
  <si>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</si>
  <si>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</si>
  <si>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</si>
  <si>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</si>
  <si>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</si>
  <si>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</si>
  <si>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</si>
  <si>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</si>
  <si>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</si>
  <si>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</si>
  <si>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</si>
  <si>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</si>
  <si>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</si>
  <si>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</si>
  <si>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</si>
  <si>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</si>
  <si>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</si>
  <si>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</si>
  <si>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</si>
  <si>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</si>
  <si>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</si>
  <si>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</si>
  <si>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</si>
  <si>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</si>
  <si>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</si>
  <si>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</si>
  <si>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</si>
  <si>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</si>
  <si>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</si>
  <si>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</si>
  <si>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</si>
  <si>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</si>
  <si>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</si>
  <si>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</si>
  <si>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</si>
  <si>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</si>
  <si>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</si>
  <si>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</si>
  <si>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</si>
  <si>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</si>
  <si>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</si>
  <si>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</si>
  <si>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</si>
  <si>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</si>
  <si>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</si>
  <si>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</si>
  <si>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</si>
  <si>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</si>
  <si>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</si>
  <si>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</si>
  <si>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</si>
  <si>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</si>
  <si>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</si>
  <si>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</si>
  <si>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</si>
  <si>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</si>
  <si>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</si>
  <si>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</si>
  <si>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</si>
  <si>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</si>
  <si>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</si>
  <si>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</si>
  <si>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</si>
  <si>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</si>
  <si>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</si>
  <si>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</si>
  <si>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</si>
  <si>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</si>
  <si>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</si>
  <si>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</si>
  <si>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</si>
  <si>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</si>
  <si>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</si>
  <si>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</si>
  <si>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</si>
  <si>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</si>
  <si>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</si>
  <si>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</si>
  <si>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</si>
  <si>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</si>
  <si>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</si>
  <si>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</si>
  <si>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</si>
  <si>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</si>
  <si>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</si>
  <si>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</si>
  <si>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</si>
  <si>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</si>
  <si>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</si>
  <si>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</si>
  <si>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</si>
  <si>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</si>
  <si>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</si>
  <si>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</si>
  <si>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</si>
  <si>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</si>
  <si>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</si>
  <si>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</si>
  <si>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</si>
  <si>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</si>
  <si>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</si>
  <si>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</si>
  <si>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</si>
  <si>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</si>
  <si>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</si>
  <si>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</si>
  <si>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</si>
  <si>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</si>
  <si>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</si>
  <si>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</si>
  <si>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</si>
  <si>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</si>
  <si>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</si>
  <si>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</si>
  <si>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</si>
  <si>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</si>
  <si>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</si>
  <si>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</si>
  <si>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</si>
  <si>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</si>
  <si>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</si>
  <si>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</si>
  <si>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</si>
  <si>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</si>
  <si>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</si>
  <si>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</si>
  <si>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</si>
  <si>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</si>
  <si>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</si>
  <si>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</si>
  <si>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</si>
  <si>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</si>
  <si>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</si>
  <si>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</si>
  <si>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</si>
  <si>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</si>
  <si>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</si>
  <si>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</si>
  <si>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</si>
  <si>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</si>
  <si>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</si>
  <si>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</si>
  <si>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</si>
  <si>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</si>
  <si>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</si>
  <si>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</si>
  <si>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</si>
  <si>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</si>
  <si>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</si>
  <si>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</si>
  <si>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</si>
  <si>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</si>
  <si>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</si>
  <si>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</si>
  <si>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</si>
  <si>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</si>
  <si>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</si>
  <si>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</si>
  <si>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</si>
  <si>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</si>
  <si>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</si>
  <si>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</si>
  <si>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</si>
  <si>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</si>
  <si>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</si>
  <si>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</si>
  <si>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</si>
  <si>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</si>
  <si>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</si>
  <si>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</si>
  <si>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</si>
  <si>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</si>
  <si>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</si>
  <si>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</si>
  <si>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</si>
  <si>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</si>
  <si>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</si>
  <si>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</si>
  <si>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</si>
  <si>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</si>
  <si>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</si>
  <si>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</si>
  <si>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</si>
  <si>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</si>
  <si>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</si>
  <si>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</si>
  <si>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</si>
  <si>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</si>
  <si>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</si>
  <si>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</si>
  <si>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</si>
  <si>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</si>
  <si>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</si>
  <si>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</si>
  <si>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</si>
  <si>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</si>
  <si>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</si>
  <si>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</si>
  <si>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</si>
  <si>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</si>
  <si>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</si>
  <si>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</si>
  <si>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</si>
  <si>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</si>
  <si>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</si>
  <si>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</si>
  <si>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</si>
  <si>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</si>
  <si>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</si>
  <si>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</si>
  <si>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</si>
  <si>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</si>
  <si>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</si>
  <si>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</si>
  <si>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</si>
  <si>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</si>
  <si>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</si>
  <si>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</si>
  <si>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</si>
  <si>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</si>
  <si>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</si>
  <si>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</si>
  <si>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</si>
  <si>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</si>
  <si>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</si>
  <si>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</si>
  <si>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</si>
  <si>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</si>
  <si>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</si>
  <si>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</si>
  <si>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</si>
  <si>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</si>
  <si>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</si>
  <si>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</si>
  <si>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</si>
  <si>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</si>
  <si>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</si>
  <si>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</si>
  <si>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</si>
  <si>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</si>
  <si>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</si>
  <si>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</si>
  <si>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</si>
  <si>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</si>
  <si>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</si>
  <si>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</si>
  <si>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</si>
  <si>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</si>
  <si>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</si>
  <si>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</si>
  <si>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</si>
  <si>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</si>
  <si>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</si>
  <si>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</si>
  <si>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</si>
  <si>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</si>
  <si>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</si>
  <si>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</si>
  <si>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</si>
  <si>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</si>
  <si>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</si>
  <si>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</si>
  <si>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</si>
  <si>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</si>
  <si>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</si>
  <si>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</si>
  <si>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</si>
  <si>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</si>
  <si>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</si>
  <si>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</si>
  <si>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</si>
  <si>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</si>
  <si>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</si>
  <si>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</si>
  <si>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</si>
  <si>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</si>
  <si>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</si>
  <si>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</si>
  <si>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</si>
  <si>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</si>
  <si>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</si>
  <si>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</si>
  <si>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</si>
  <si>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</si>
  <si>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</si>
  <si>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</si>
  <si>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</si>
  <si>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</si>
  <si>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</si>
  <si>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</si>
  <si>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</si>
  <si>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</si>
  <si>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</si>
  <si>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</si>
  <si>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</si>
  <si>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</si>
  <si>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</si>
  <si>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</si>
  <si>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</si>
  <si>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</si>
  <si>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</si>
  <si>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</si>
  <si>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</si>
  <si>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</si>
  <si>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</si>
  <si>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</si>
  <si>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</si>
  <si>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</si>
  <si>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</si>
  <si>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</si>
  <si>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</si>
  <si>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</si>
  <si>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</si>
  <si>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</si>
  <si>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</si>
  <si>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</si>
  <si>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</si>
  <si>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</si>
  <si>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</si>
  <si>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</si>
  <si>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</si>
  <si>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</si>
  <si>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</si>
  <si>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</si>
  <si>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</si>
  <si>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</si>
  <si>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</si>
  <si>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</si>
  <si>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</si>
  <si>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</si>
  <si>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</si>
  <si>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</si>
  <si>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</si>
  <si>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</si>
  <si>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</si>
  <si>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</si>
  <si>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</si>
  <si>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</si>
  <si>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</si>
  <si>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</si>
  <si>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</si>
  <si>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</si>
  <si>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</si>
  <si>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</si>
  <si>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</si>
  <si>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</si>
  <si>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</si>
  <si>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</si>
  <si>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</si>
  <si>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</si>
  <si>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</si>
  <si>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</si>
  <si>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</si>
  <si>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</si>
  <si>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</si>
  <si>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</si>
  <si>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</si>
  <si>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</si>
  <si>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</si>
  <si>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</si>
  <si>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</si>
  <si>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</si>
  <si>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</si>
  <si>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</si>
  <si>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</si>
  <si>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</si>
  <si>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</si>
  <si>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</si>
  <si>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</si>
  <si>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</si>
  <si>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</si>
  <si>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</si>
  <si>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</si>
  <si>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</si>
  <si>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</si>
  <si>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</si>
  <si>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</si>
  <si>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</si>
  <si>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</si>
  <si>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</si>
  <si>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</si>
  <si>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</si>
  <si>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</si>
  <si>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</si>
  <si>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</si>
  <si>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</si>
  <si>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</si>
  <si>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</si>
  <si>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</si>
  <si>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</si>
  <si>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</si>
  <si>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</si>
  <si>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</si>
  <si>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</si>
  <si>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</si>
  <si>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</si>
  <si>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</si>
  <si>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</si>
  <si>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</si>
  <si>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</si>
  <si>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</si>
  <si>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</si>
  <si>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</si>
  <si>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</si>
  <si>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</si>
  <si>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</si>
  <si>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</si>
  <si>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</si>
  <si>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</si>
  <si>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</si>
  <si>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</si>
  <si>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</si>
  <si>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</si>
  <si>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</si>
  <si>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</si>
  <si>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</si>
  <si>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</si>
  <si>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</si>
  <si>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</si>
  <si>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</si>
  <si>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</si>
  <si>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</si>
  <si>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</si>
  <si>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</si>
  <si>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</si>
  <si>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</si>
  <si>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</si>
  <si>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</si>
  <si>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</si>
  <si>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</si>
  <si>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</si>
  <si>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</si>
  <si>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</si>
  <si>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</si>
  <si>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</si>
  <si>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</si>
  <si>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</si>
  <si>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</si>
  <si>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</si>
  <si>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</si>
  <si>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</si>
  <si>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</si>
  <si>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</si>
  <si>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</si>
  <si>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</si>
  <si>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</si>
  <si>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</si>
  <si>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</si>
  <si>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</si>
  <si>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</si>
  <si>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</si>
  <si>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</si>
  <si>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</si>
  <si>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</si>
  <si>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</si>
  <si>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</si>
  <si>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</si>
  <si>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</si>
  <si>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</si>
  <si>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</si>
  <si>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</si>
  <si>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</si>
  <si>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</si>
  <si>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</si>
  <si>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</si>
  <si>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</si>
  <si>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</si>
  <si>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</si>
  <si>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</si>
  <si>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</si>
  <si>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</si>
  <si>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</si>
  <si>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</si>
  <si>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</si>
  <si>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</si>
  <si>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</si>
  <si>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</si>
  <si>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</si>
  <si>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</si>
  <si>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</si>
  <si>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</si>
  <si>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</si>
  <si>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</si>
  <si>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</si>
  <si>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</si>
  <si>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</si>
  <si>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</si>
  <si>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</si>
  <si>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</si>
  <si>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</si>
  <si>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</si>
  <si>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</si>
  <si>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</si>
  <si>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</si>
  <si>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</si>
  <si>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</si>
  <si>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</si>
  <si>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</si>
  <si>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</si>
  <si>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</si>
  <si>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</si>
  <si>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</si>
  <si>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</si>
  <si>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</si>
  <si>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</si>
  <si>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</si>
  <si>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</si>
  <si>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</si>
  <si>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</si>
  <si>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</si>
  <si>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</si>
  <si>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</si>
  <si>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</si>
  <si>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</si>
  <si>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</si>
  <si>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</si>
  <si>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</si>
  <si>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</si>
  <si>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</si>
  <si>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</si>
  <si>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</si>
  <si>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</si>
  <si>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</si>
  <si>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</si>
  <si>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</si>
  <si>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</si>
  <si>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</si>
  <si>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</si>
  <si>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</si>
  <si>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</si>
  <si>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</si>
  <si>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</si>
  <si>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</si>
  <si>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</si>
  <si>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</si>
  <si>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</si>
  <si>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</si>
  <si>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</si>
  <si>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</si>
  <si>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</si>
  <si>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</si>
  <si>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</si>
  <si>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</si>
  <si>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</si>
  <si>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</si>
  <si>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</si>
  <si>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</si>
  <si>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</si>
  <si>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</si>
  <si>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</si>
  <si>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</si>
  <si>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</si>
  <si>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</si>
  <si>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</si>
  <si>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</si>
  <si>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</si>
  <si>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</si>
  <si>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</si>
  <si>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</si>
  <si>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</si>
  <si>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</si>
  <si>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</si>
  <si>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</si>
  <si>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</si>
  <si>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</si>
  <si>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</si>
  <si>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</si>
  <si>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</si>
  <si>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</si>
  <si>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</si>
  <si>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</si>
  <si>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</si>
  <si>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</si>
  <si>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</si>
  <si>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</si>
  <si>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</si>
  <si>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</si>
  <si>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</si>
  <si>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</si>
  <si>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</si>
  <si>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</si>
  <si>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</si>
  <si>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</si>
  <si>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</si>
  <si>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</si>
  <si>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</si>
  <si>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</si>
  <si>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</si>
  <si>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</si>
  <si>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</si>
  <si>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</si>
  <si>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</si>
  <si>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</si>
  <si>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</si>
  <si>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</si>
  <si>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</si>
  <si>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</si>
  <si>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</si>
  <si>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</si>
  <si>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</si>
  <si>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</si>
  <si>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</si>
  <si>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</si>
  <si>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</si>
  <si>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</si>
  <si>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</si>
  <si>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</si>
  <si>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</si>
  <si>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</si>
  <si>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</si>
  <si>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</si>
  <si>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</si>
  <si>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</si>
  <si>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</si>
  <si>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</si>
  <si>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</si>
  <si>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</si>
  <si>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</si>
  <si>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</si>
  <si>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</si>
  <si>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</si>
  <si>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</si>
  <si>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</si>
  <si>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</si>
  <si>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</si>
  <si>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</si>
  <si>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</si>
  <si>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</si>
  <si>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</si>
  <si>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</si>
  <si>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</si>
  <si>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</si>
  <si>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</si>
  <si>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</si>
  <si>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</si>
  <si>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</si>
  <si>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</si>
  <si>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</si>
  <si>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</si>
  <si>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</si>
  <si>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</si>
  <si>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</si>
  <si>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</si>
  <si>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</si>
  <si>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</si>
  <si>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</si>
  <si>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</si>
  <si>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</si>
  <si>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</si>
  <si>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</si>
  <si>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</si>
  <si>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</si>
  <si>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</si>
  <si>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</si>
  <si>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</si>
  <si>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</si>
  <si>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</si>
  <si>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</si>
  <si>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</si>
  <si>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</si>
  <si>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</si>
  <si>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</si>
  <si>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</si>
  <si>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</si>
  <si>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</si>
  <si>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</si>
  <si>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</si>
  <si>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</si>
  <si>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</si>
  <si>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</si>
  <si>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</si>
  <si>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</si>
  <si>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</si>
  <si>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</si>
  <si>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</si>
  <si>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</si>
  <si>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</si>
  <si>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</si>
  <si>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</si>
  <si>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</si>
  <si>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</si>
  <si>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</si>
  <si>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</si>
  <si>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</si>
  <si>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</si>
  <si>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</si>
  <si>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</si>
  <si>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</si>
  <si>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</si>
  <si>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</si>
  <si>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</si>
  <si>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</si>
  <si>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</si>
  <si>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</si>
  <si>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</si>
  <si>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</si>
  <si>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</si>
  <si>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</si>
  <si>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</si>
  <si>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</si>
  <si>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</si>
  <si>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</si>
  <si>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</si>
  <si>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</si>
  <si>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</si>
  <si>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</si>
  <si>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</si>
  <si>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</si>
  <si>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</si>
  <si>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</si>
  <si>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</si>
  <si>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</si>
  <si>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</si>
  <si>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</si>
  <si>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</si>
  <si>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</si>
  <si>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</si>
  <si>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</si>
  <si>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</si>
  <si>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</si>
  <si>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</si>
  <si>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</si>
  <si>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</si>
  <si>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</si>
  <si>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</si>
  <si>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</si>
  <si>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</si>
  <si>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</si>
  <si>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</si>
  <si>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</si>
  <si>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</si>
  <si>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</si>
  <si>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</si>
  <si>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</si>
  <si>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</si>
  <si>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</si>
  <si>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</si>
  <si>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</si>
  <si>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</si>
  <si>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</si>
  <si>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</si>
  <si>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</si>
  <si>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</si>
  <si>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</si>
  <si>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</si>
  <si>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</si>
  <si>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</si>
  <si>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</si>
  <si>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</si>
  <si>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</si>
  <si>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</si>
  <si>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</si>
  <si>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</si>
  <si>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</si>
  <si>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</si>
  <si>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</si>
  <si>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</si>
  <si>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</si>
  <si>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</si>
  <si>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</si>
  <si>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</si>
  <si>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</si>
  <si>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</si>
  <si>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</si>
  <si>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</si>
  <si>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</si>
  <si>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</si>
  <si>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</si>
  <si>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</si>
  <si>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</si>
  <si>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</si>
  <si>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</si>
  <si>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</si>
  <si>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</si>
  <si>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</si>
  <si>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</si>
  <si>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</si>
  <si>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</si>
  <si>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</si>
  <si>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</si>
  <si>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</si>
  <si>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</si>
  <si>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</si>
  <si>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</si>
  <si>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</si>
  <si>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</si>
  <si>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</si>
  <si>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</si>
  <si>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</si>
  <si>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</si>
  <si>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</si>
  <si>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</si>
  <si>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</si>
  <si>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</si>
  <si>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</si>
  <si>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</si>
  <si>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</si>
  <si>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</si>
  <si>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</si>
  <si>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</si>
  <si>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</si>
  <si>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</si>
  <si>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</si>
  <si>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</si>
  <si>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</si>
  <si>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</si>
  <si>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</si>
  <si>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</si>
  <si>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</si>
  <si>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</si>
  <si>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</si>
  <si>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</si>
  <si>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</si>
  <si>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</si>
  <si>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</si>
  <si>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</si>
  <si>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</si>
  <si>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</si>
  <si>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</si>
  <si>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</si>
  <si>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</si>
  <si>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</si>
  <si>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</si>
  <si>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</si>
  <si>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</si>
  <si>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</si>
  <si>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</si>
  <si>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</si>
  <si>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</si>
  <si>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</si>
  <si>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</si>
  <si>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</si>
  <si>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</si>
  <si>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</si>
  <si>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</si>
  <si>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</si>
  <si>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</si>
  <si>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</si>
  <si>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</si>
  <si>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</si>
  <si>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</si>
  <si>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</si>
  <si>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</si>
  <si>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</si>
  <si>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</si>
  <si>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</si>
  <si>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</si>
  <si>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</si>
  <si>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</si>
  <si>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</si>
  <si>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</si>
  <si>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</si>
  <si>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</si>
  <si>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</si>
  <si>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</si>
  <si>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</si>
  <si>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</si>
  <si>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</si>
  <si>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</si>
  <si>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</si>
  <si>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</si>
  <si>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</si>
  <si>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</si>
  <si>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</si>
  <si>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</si>
  <si>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</si>
  <si>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</si>
  <si>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</si>
  <si>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</si>
  <si>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</si>
  <si>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</si>
  <si>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</si>
  <si>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</si>
  <si>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</si>
  <si>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</si>
  <si>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</si>
  <si>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</si>
  <si>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</si>
  <si>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</si>
  <si>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</si>
  <si>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</si>
  <si>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</si>
  <si>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</si>
  <si>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</si>
  <si>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</si>
  <si>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</si>
  <si>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</si>
  <si>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</si>
  <si>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</si>
  <si>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</si>
  <si>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</si>
  <si>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</si>
  <si>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</si>
  <si>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</si>
  <si>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</si>
  <si>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</si>
  <si>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</si>
  <si>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</si>
  <si>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</si>
  <si>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</si>
  <si>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</si>
  <si>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</si>
  <si>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</si>
  <si>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</si>
  <si>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</si>
  <si>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</si>
  <si>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</si>
  <si>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</si>
  <si>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</si>
  <si>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</si>
  <si>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</si>
  <si>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</si>
  <si>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</si>
  <si>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</si>
  <si>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</si>
  <si>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</si>
  <si>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</si>
  <si>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</si>
  <si>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</si>
  <si>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</si>
  <si>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</si>
  <si>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</si>
  <si>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</si>
  <si>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</si>
  <si>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</si>
  <si>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</si>
  <si>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</si>
  <si>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</si>
  <si>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</si>
  <si>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</si>
  <si>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</si>
  <si>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</si>
  <si>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</si>
  <si>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</si>
  <si>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</si>
  <si>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</si>
  <si>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</si>
  <si>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</si>
  <si>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</si>
  <si>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</si>
  <si>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</si>
  <si>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</si>
  <si>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</si>
  <si>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</si>
  <si>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</si>
  <si>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</si>
  <si>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</si>
  <si>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</si>
  <si>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</si>
  <si>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</si>
  <si>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</si>
  <si>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</si>
  <si>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</si>
  <si>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</si>
  <si>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</si>
  <si>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</si>
  <si>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</si>
  <si>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</si>
  <si>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</si>
  <si>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</si>
  <si>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</si>
  <si>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</si>
  <si>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</si>
  <si>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</si>
  <si>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</si>
  <si>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</si>
  <si>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</si>
  <si>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</si>
  <si>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</si>
  <si>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</si>
  <si>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</si>
  <si>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</si>
  <si>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</si>
  <si>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</si>
  <si>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</si>
  <si>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</si>
  <si>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</si>
  <si>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</si>
  <si>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</si>
  <si>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</si>
  <si>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</si>
  <si>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</si>
  <si>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</si>
  <si>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</si>
  <si>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</si>
  <si>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</si>
  <si>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</si>
  <si>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</si>
  <si>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</si>
  <si>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</si>
  <si>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</si>
  <si>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</si>
  <si>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</si>
  <si>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</si>
  <si>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</si>
  <si>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</si>
  <si>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</si>
  <si>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</si>
  <si>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</si>
  <si>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</si>
  <si>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</si>
  <si>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</si>
  <si>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</si>
  <si>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</si>
  <si>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</si>
  <si>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</si>
  <si>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</si>
  <si>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</si>
  <si>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</si>
  <si>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</si>
  <si>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</si>
  <si>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</si>
  <si>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</si>
  <si>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</si>
  <si>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</si>
  <si>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</si>
  <si>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</si>
  <si>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</si>
  <si>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</si>
  <si>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</si>
  <si>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</si>
  <si>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</si>
  <si>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</si>
  <si>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</si>
  <si>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</si>
  <si>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</si>
  <si>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</si>
  <si>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</si>
  <si>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</si>
  <si>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</si>
  <si>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</si>
  <si>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</si>
  <si>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</si>
  <si>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</si>
  <si>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</si>
  <si>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</si>
  <si>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</si>
  <si>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</si>
  <si>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</si>
  <si>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</si>
  <si>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</si>
  <si>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</si>
  <si>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</si>
  <si>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</si>
  <si>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</si>
  <si>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</si>
  <si>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</si>
  <si>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</si>
  <si>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</si>
  <si>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</si>
  <si>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</si>
  <si>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</si>
  <si>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</si>
  <si>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</si>
  <si>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</si>
  <si>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</si>
  <si>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</si>
  <si>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</si>
  <si>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</si>
  <si>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</si>
  <si>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</si>
  <si>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</si>
  <si>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</si>
  <si>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</si>
  <si>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</si>
  <si>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</si>
  <si>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</si>
  <si>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</si>
  <si>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</si>
  <si>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</si>
  <si>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</si>
  <si>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</si>
  <si>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</si>
  <si>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</si>
  <si>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</si>
  <si>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</si>
  <si>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</si>
  <si>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</si>
  <si>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</si>
  <si>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</si>
  <si>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</si>
  <si>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</si>
  <si>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</si>
  <si>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</si>
  <si>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</si>
  <si>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</si>
  <si>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</si>
  <si>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</si>
  <si>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</si>
  <si>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</si>
  <si>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</si>
  <si>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</si>
  <si>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</si>
  <si>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</si>
  <si>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</si>
  <si>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</si>
  <si>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</si>
  <si>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</si>
  <si>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</si>
  <si>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</si>
  <si>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</si>
  <si>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</si>
  <si>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</si>
  <si>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</si>
  <si>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</si>
  <si>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</si>
  <si>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</si>
  <si>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</si>
  <si>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</si>
  <si>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</si>
  <si>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</si>
  <si>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</si>
  <si>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</si>
  <si>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</si>
  <si>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</si>
  <si>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</si>
  <si>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</si>
  <si>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</si>
  <si>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</si>
  <si>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</si>
  <si>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</si>
  <si>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</si>
  <si>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</si>
  <si>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</si>
  <si>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</si>
  <si>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</si>
  <si>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</si>
  <si>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</si>
  <si>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</si>
  <si>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</si>
  <si>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</si>
  <si>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</si>
  <si>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</si>
  <si>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</si>
  <si>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</si>
  <si>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</si>
  <si>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</si>
  <si>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</si>
  <si>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</si>
  <si>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</si>
  <si>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</si>
  <si>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</si>
  <si>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</si>
  <si>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</si>
  <si>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</si>
  <si>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</si>
  <si>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</si>
  <si>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</si>
  <si>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</si>
  <si>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</si>
  <si>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</si>
  <si>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</si>
  <si>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</si>
  <si>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</si>
  <si>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</si>
  <si>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</si>
  <si>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</si>
  <si>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</si>
  <si>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</si>
  <si>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</si>
  <si>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</si>
  <si>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</si>
  <si>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</si>
  <si>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</si>
  <si>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</si>
  <si>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</si>
  <si>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</si>
  <si>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</si>
  <si>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</si>
  <si>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</si>
  <si>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</si>
  <si>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</si>
  <si>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</si>
  <si>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</si>
  <si>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</si>
  <si>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</si>
  <si>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</si>
  <si>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</si>
  <si>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</si>
  <si>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</si>
  <si>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</si>
  <si>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</si>
  <si>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</si>
  <si>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</si>
  <si>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</si>
  <si>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</si>
  <si>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</si>
  <si>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</si>
  <si>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</si>
  <si>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</si>
  <si>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</si>
  <si>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</si>
  <si>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</si>
  <si>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</si>
  <si>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</si>
  <si>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</si>
  <si>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</si>
  <si>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</si>
  <si>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</si>
  <si>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</si>
  <si>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</si>
  <si>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</si>
  <si>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</si>
  <si>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</si>
  <si>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</si>
  <si>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</si>
  <si>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</si>
  <si>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</si>
  <si>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</si>
  <si>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</si>
  <si>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</si>
  <si>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</si>
  <si>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</si>
  <si>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</si>
  <si>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</si>
  <si>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</si>
  <si>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</si>
  <si>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</si>
  <si>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</si>
  <si>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</si>
  <si>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</si>
  <si>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</si>
  <si>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</si>
  <si>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</si>
  <si>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</si>
  <si>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</si>
  <si>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</si>
  <si>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</si>
  <si>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</si>
  <si>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</si>
  <si>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</si>
  <si>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</si>
  <si>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</si>
  <si>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</si>
  <si>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</si>
  <si>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</si>
  <si>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</si>
  <si>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</si>
  <si>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</si>
  <si>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</si>
  <si>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</si>
  <si>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</si>
  <si>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</si>
  <si>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</si>
  <si>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</si>
  <si>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</si>
  <si>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</si>
  <si>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</si>
  <si>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</si>
  <si>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</si>
  <si>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</si>
  <si>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</si>
  <si>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</si>
  <si>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</si>
  <si>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</si>
  <si>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</si>
  <si>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</si>
  <si>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</si>
  <si>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</si>
  <si>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</si>
  <si>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</si>
  <si>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</si>
  <si>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</si>
  <si>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</si>
  <si>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</si>
  <si>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</si>
  <si>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</si>
  <si>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</si>
  <si>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</si>
  <si>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</si>
  <si>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</si>
  <si>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</si>
  <si>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</si>
  <si>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</si>
  <si>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</si>
  <si>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</si>
  <si>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</si>
  <si>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</si>
  <si>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</si>
  <si>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</si>
  <si>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</si>
  <si>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</si>
  <si>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</si>
  <si>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</si>
  <si>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</si>
  <si>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</si>
  <si>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</si>
  <si>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</si>
  <si>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</si>
  <si>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</si>
  <si>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</si>
  <si>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</si>
  <si>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</si>
  <si>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</si>
  <si>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</si>
  <si>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</si>
  <si>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</si>
  <si>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</si>
  <si>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</si>
  <si>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</si>
  <si>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</si>
  <si>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</si>
  <si>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</si>
  <si>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</si>
  <si>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</si>
  <si>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</si>
  <si>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</si>
  <si>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</si>
  <si>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</si>
  <si>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</si>
  <si>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</si>
  <si>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</si>
  <si>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</si>
  <si>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</si>
  <si>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</si>
  <si>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</si>
  <si>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</si>
  <si>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</si>
  <si>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</si>
  <si>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</si>
  <si>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</si>
  <si>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</si>
  <si>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</si>
  <si>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</si>
  <si>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</si>
  <si>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</si>
  <si>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</si>
  <si>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</si>
  <si>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</si>
  <si>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</si>
  <si>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</si>
  <si>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</si>
  <si>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</si>
  <si>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</si>
  <si>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</si>
  <si>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</si>
  <si>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</si>
  <si>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</si>
  <si>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</si>
  <si>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</si>
  <si>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</si>
  <si>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</si>
  <si>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</si>
  <si>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</si>
  <si>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</si>
  <si>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</si>
  <si>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</si>
  <si>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</si>
  <si>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</si>
  <si>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</si>
  <si>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</si>
  <si>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</si>
  <si>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</si>
  <si>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</si>
  <si>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</si>
  <si>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</si>
  <si>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</si>
  <si>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</si>
  <si>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</si>
  <si>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</si>
  <si>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</si>
  <si>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</si>
  <si>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</si>
  <si>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</si>
  <si>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</si>
  <si>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</si>
  <si>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</si>
  <si>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</si>
  <si>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</si>
  <si>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</si>
  <si>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</si>
  <si>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</si>
  <si>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</si>
  <si>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</si>
  <si>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</si>
  <si>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</si>
  <si>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</si>
  <si>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</si>
  <si>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</si>
  <si>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</si>
  <si>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</si>
  <si>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</si>
  <si>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</si>
  <si>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</si>
  <si>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</si>
  <si>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</si>
  <si>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</si>
  <si>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</si>
  <si>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</si>
  <si>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</si>
  <si>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</si>
  <si>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</si>
  <si>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</si>
  <si>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</si>
  <si>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</si>
  <si>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</si>
  <si>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</si>
  <si>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</si>
  <si>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</si>
  <si>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</si>
  <si>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</si>
  <si>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</si>
  <si>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</si>
  <si>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</si>
  <si>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</si>
  <si>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</si>
  <si>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</si>
  <si>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</si>
  <si>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</si>
  <si>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</si>
  <si>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</si>
  <si>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</si>
  <si>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</si>
  <si>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</si>
  <si>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</si>
  <si>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</si>
  <si>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</si>
  <si>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</si>
  <si>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</si>
  <si>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</si>
  <si>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</si>
  <si>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</si>
  <si>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</si>
  <si>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</si>
  <si>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</si>
  <si>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</si>
  <si>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</si>
  <si>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</si>
  <si>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</si>
  <si>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</si>
  <si>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</si>
  <si>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</si>
  <si>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</si>
  <si>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</si>
  <si>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</si>
  <si>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</si>
  <si>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</si>
  <si>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</si>
  <si>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</si>
  <si>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</si>
  <si>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</si>
  <si>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</si>
  <si>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</si>
  <si>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</si>
  <si>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</si>
  <si>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</si>
  <si>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</si>
  <si>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</si>
  <si>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</si>
  <si>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</si>
  <si>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</si>
  <si>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</si>
  <si>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</si>
  <si>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</si>
  <si>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</si>
  <si>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</si>
  <si>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</si>
  <si>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</si>
  <si>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</si>
  <si>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</si>
  <si>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</si>
  <si>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</si>
  <si>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</si>
  <si>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</si>
  <si>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</si>
  <si>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</si>
  <si>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</si>
  <si>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</si>
  <si>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</si>
  <si>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</si>
  <si>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</si>
  <si>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</si>
  <si>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</si>
  <si>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</si>
  <si>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</si>
  <si>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</si>
  <si>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</si>
  <si>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</si>
  <si>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</si>
  <si>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</si>
  <si>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</si>
  <si>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</si>
  <si>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</si>
  <si>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</si>
  <si>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</si>
  <si>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</si>
  <si>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</si>
  <si>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</si>
  <si>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</si>
  <si>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</si>
  <si>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</si>
  <si>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</si>
  <si>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</si>
  <si>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</si>
  <si>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</si>
  <si>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</si>
  <si>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</si>
  <si>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</si>
  <si>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</si>
  <si>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</si>
  <si>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</si>
  <si>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</si>
  <si>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</si>
  <si>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</si>
  <si>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</si>
  <si>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</si>
  <si>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</si>
  <si>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</si>
  <si>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</si>
  <si>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</si>
  <si>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</si>
  <si>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</si>
  <si>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</si>
  <si>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</si>
  <si>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</si>
  <si>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</si>
  <si>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</si>
  <si>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</si>
  <si>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</si>
  <si>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</si>
  <si>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</si>
  <si>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</si>
  <si>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</si>
  <si>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</si>
  <si>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</si>
  <si>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</si>
  <si>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</si>
  <si>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</si>
  <si>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</si>
  <si>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</si>
  <si>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</si>
  <si>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</si>
  <si>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</si>
  <si>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</si>
  <si>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</si>
  <si>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</si>
  <si>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</si>
  <si>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</si>
  <si>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</si>
  <si>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</si>
  <si>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</si>
  <si>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</si>
  <si>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</si>
  <si>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</si>
  <si>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</si>
  <si>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</si>
  <si>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</si>
  <si>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</si>
  <si>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</si>
  <si>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</si>
  <si>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</si>
  <si>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</si>
  <si>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</si>
  <si>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</si>
  <si>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</si>
  <si>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</si>
  <si>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</si>
  <si>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</si>
  <si>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</si>
  <si>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</si>
  <si>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</si>
  <si>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</si>
  <si>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</si>
  <si>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</si>
  <si>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</si>
  <si>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</si>
  <si>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</si>
  <si>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</si>
  <si>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</si>
  <si>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</si>
  <si>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</si>
  <si>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</si>
  <si>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</si>
  <si>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</si>
  <si>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</si>
  <si>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</si>
  <si>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</si>
  <si>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</si>
  <si>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</si>
  <si>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</si>
  <si>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</si>
  <si>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</si>
  <si>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</si>
  <si>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</si>
  <si>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</si>
  <si>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</si>
  <si>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</si>
  <si>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</si>
  <si>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</si>
  <si>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</si>
  <si>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</si>
  <si>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</si>
  <si>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</si>
  <si>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</si>
  <si>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</si>
  <si>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</si>
  <si>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</si>
  <si>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</si>
  <si>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</si>
  <si>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</si>
  <si>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</si>
  <si>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</si>
  <si>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</si>
  <si>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</si>
  <si>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</si>
  <si>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</si>
  <si>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</si>
  <si>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</si>
  <si>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</si>
  <si>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</si>
  <si>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</si>
  <si>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</si>
  <si>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</si>
  <si>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</si>
  <si>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</si>
  <si>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</si>
  <si>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</si>
  <si>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</si>
  <si>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</si>
  <si>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</si>
  <si>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</si>
  <si>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</si>
  <si>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</si>
  <si>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</si>
  <si>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</si>
  <si>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</si>
  <si>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</si>
  <si>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</si>
  <si>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</si>
  <si>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</si>
  <si>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</si>
  <si>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</si>
  <si>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</si>
  <si>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</si>
  <si>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</si>
  <si>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</si>
  <si>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</si>
  <si>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</si>
  <si>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</si>
  <si>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</si>
  <si>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</si>
  <si>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</si>
  <si>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</si>
  <si>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</si>
  <si>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</si>
  <si>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</si>
  <si>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</si>
  <si>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</si>
  <si>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</si>
  <si>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</si>
  <si>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</si>
  <si>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</si>
  <si>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</si>
  <si>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</si>
  <si>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</si>
  <si>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</si>
  <si>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</si>
  <si>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</si>
  <si>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</si>
  <si>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</si>
  <si>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</si>
  <si>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</si>
  <si>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</si>
  <si>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</si>
  <si>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</si>
  <si>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</si>
  <si>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</si>
  <si>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</si>
  <si>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</si>
  <si>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</si>
  <si>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</si>
  <si>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</si>
  <si>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</si>
  <si>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</si>
  <si>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</si>
  <si>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</si>
  <si>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</si>
  <si>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</si>
  <si>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</si>
  <si>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</si>
  <si>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</si>
  <si>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</si>
  <si>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</si>
  <si>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</si>
  <si>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</si>
  <si>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</si>
  <si>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</si>
  <si>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</si>
  <si>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</si>
  <si>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</si>
  <si>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</si>
  <si>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</si>
  <si>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</si>
  <si>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</si>
  <si>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</si>
  <si>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</si>
  <si>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</si>
  <si>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</si>
  <si>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</si>
  <si>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</si>
  <si>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</si>
  <si>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</si>
  <si>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</si>
  <si>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</si>
  <si>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</si>
  <si>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</si>
  <si>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</si>
  <si>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</si>
  <si>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</si>
  <si>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</si>
  <si>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</si>
  <si>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</si>
  <si>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</si>
  <si>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</si>
  <si>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</si>
  <si>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</si>
  <si>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</si>
  <si>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</si>
  <si>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</si>
  <si>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</si>
  <si>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</si>
  <si>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</si>
  <si>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</si>
  <si>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</si>
  <si>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</si>
  <si>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</si>
  <si>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</si>
  <si>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</si>
  <si>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</si>
  <si>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</si>
  <si>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</si>
  <si>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</si>
  <si>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</si>
  <si>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</si>
  <si>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</si>
  <si>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</si>
  <si>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</si>
  <si>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</si>
  <si>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</si>
  <si>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</si>
  <si>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</si>
  <si>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</si>
  <si>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</si>
  <si>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</si>
  <si>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</si>
  <si>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</si>
  <si>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</si>
  <si>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</si>
  <si>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</si>
  <si>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</si>
  <si>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</si>
  <si>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</si>
  <si>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</si>
  <si>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</si>
  <si>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</si>
  <si>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</si>
  <si>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</si>
  <si>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</si>
  <si>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</si>
  <si>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</si>
  <si>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</si>
  <si>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</si>
  <si>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</si>
  <si>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</si>
  <si>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</si>
  <si>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</si>
  <si>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</si>
  <si>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</si>
  <si>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</si>
  <si>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</si>
  <si>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</si>
  <si>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</si>
  <si>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</si>
  <si>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</si>
  <si>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</si>
  <si>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</si>
  <si>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</si>
  <si>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</si>
  <si>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</si>
  <si>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</si>
  <si>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</si>
  <si>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</si>
  <si>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</si>
  <si>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</si>
  <si>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</si>
  <si>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</si>
  <si>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</si>
  <si>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</si>
  <si>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</si>
  <si>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</si>
  <si>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</si>
  <si>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</si>
  <si>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</si>
  <si>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</si>
  <si>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</si>
  <si>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</si>
  <si>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</si>
  <si>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</si>
  <si>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</si>
  <si>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</si>
  <si>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</si>
  <si>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</si>
  <si>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</si>
  <si>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</si>
  <si>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</si>
  <si>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</si>
  <si>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</si>
  <si>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</si>
  <si>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</si>
  <si>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</si>
  <si>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</si>
  <si>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</si>
  <si>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</si>
  <si>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</si>
  <si>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</si>
  <si>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</si>
  <si>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</si>
  <si>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</si>
  <si>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</si>
  <si>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</si>
  <si>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</si>
  <si>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</si>
  <si>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</si>
  <si>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</si>
  <si>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</si>
  <si>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</si>
  <si>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</si>
  <si>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</si>
  <si>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</si>
  <si>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</si>
  <si>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</si>
  <si>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</si>
  <si>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</si>
  <si>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</si>
  <si>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</si>
  <si>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</si>
  <si>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</si>
  <si>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</si>
  <si>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</si>
  <si>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</si>
  <si>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</si>
  <si>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</si>
  <si>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</si>
  <si>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</si>
  <si>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</si>
  <si>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</si>
  <si>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</si>
  <si>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</si>
  <si>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</si>
  <si>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</si>
  <si>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</si>
  <si>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</si>
  <si>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</si>
  <si>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</si>
  <si>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</si>
  <si>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</si>
  <si>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</si>
  <si>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</si>
  <si>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</si>
  <si>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</si>
  <si>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</si>
  <si>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</si>
  <si>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</si>
  <si>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</si>
  <si>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</si>
  <si>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</si>
  <si>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</si>
  <si>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</si>
  <si>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</si>
  <si>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</si>
  <si>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</si>
  <si>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</si>
  <si>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</si>
  <si>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</si>
  <si>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</si>
  <si>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</si>
  <si>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</si>
  <si>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</si>
  <si>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</si>
  <si>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</si>
  <si>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</si>
  <si>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</si>
  <si>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</si>
  <si>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</si>
  <si>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</si>
  <si>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</si>
  <si>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</si>
  <si>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</si>
  <si>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</si>
  <si>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</si>
  <si>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</si>
  <si>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</si>
  <si>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</si>
  <si>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</si>
  <si>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</si>
  <si>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</si>
  <si>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</si>
  <si>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</si>
  <si>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</si>
  <si>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</si>
  <si>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</si>
  <si>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</si>
  <si>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</si>
  <si>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</si>
  <si>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</si>
  <si>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</si>
  <si>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</si>
  <si>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</si>
  <si>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</si>
  <si>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</si>
  <si>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</si>
  <si>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</si>
  <si>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</si>
  <si>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</si>
  <si>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</si>
  <si>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</si>
  <si>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</si>
  <si>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</si>
  <si>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</si>
  <si>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</si>
  <si>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</si>
  <si>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</si>
  <si>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</si>
  <si>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</si>
  <si>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</si>
  <si>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</si>
  <si>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</si>
  <si>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</si>
  <si>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</si>
  <si>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</si>
  <si>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</si>
  <si>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</si>
  <si>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</si>
  <si>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</si>
  <si>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</si>
  <si>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</si>
  <si>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</si>
  <si>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</si>
  <si>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</si>
  <si>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</si>
  <si>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</si>
  <si>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</si>
  <si>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</si>
  <si>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</si>
  <si>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</si>
  <si>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</si>
  <si>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</si>
  <si>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</si>
  <si>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</si>
  <si>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</si>
  <si>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</si>
  <si>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</si>
  <si>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</si>
  <si>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</si>
  <si>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</si>
  <si>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</si>
  <si>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</si>
  <si>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</si>
  <si>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</si>
  <si>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</si>
  <si>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</si>
  <si>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</si>
  <si>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</si>
  <si>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</si>
  <si>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</si>
  <si>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</si>
  <si>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</si>
  <si>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</si>
  <si>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</si>
  <si>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</si>
  <si>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</si>
  <si>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</si>
  <si>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</si>
  <si>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</si>
  <si>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</si>
  <si>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</si>
  <si>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</si>
  <si>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</si>
  <si>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</si>
  <si>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</si>
  <si>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</si>
  <si>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</si>
  <si>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</si>
  <si>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</si>
  <si>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</si>
  <si>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</si>
  <si>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</si>
  <si>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</si>
  <si>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</si>
  <si>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</si>
  <si>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</si>
  <si>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</si>
  <si>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</si>
  <si>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</si>
  <si>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</si>
  <si>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</si>
  <si>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</si>
  <si>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</si>
  <si>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</si>
  <si>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</si>
  <si>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</si>
  <si>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</si>
  <si>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</si>
  <si>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</si>
  <si>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</si>
  <si>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</si>
  <si>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</si>
  <si>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</si>
  <si>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</si>
  <si>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</si>
  <si>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</si>
  <si>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</si>
  <si>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</si>
  <si>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</si>
  <si>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</si>
  <si>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</si>
  <si>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</si>
  <si>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</si>
  <si>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</si>
  <si>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</si>
  <si>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</si>
  <si>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</si>
  <si>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</si>
  <si>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</si>
  <si>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</si>
  <si>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</si>
  <si>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</si>
  <si>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</si>
  <si>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</si>
  <si>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</si>
  <si>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</si>
  <si>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</si>
  <si>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</si>
  <si>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</si>
  <si>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</si>
  <si>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</si>
  <si>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</si>
  <si>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</si>
  <si>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</si>
  <si>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</si>
  <si>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</si>
  <si>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</si>
  <si>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</si>
  <si>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</si>
  <si>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</si>
  <si>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</si>
  <si>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</si>
  <si>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</si>
  <si>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</si>
  <si>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</si>
  <si>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</si>
  <si>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</si>
  <si>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</si>
  <si>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</si>
  <si>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</si>
  <si>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</si>
  <si>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</si>
  <si>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</si>
  <si>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</si>
  <si>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</si>
  <si>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</si>
  <si>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</si>
  <si>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</si>
  <si>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</si>
  <si>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</si>
  <si>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</si>
  <si>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</si>
  <si>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</si>
  <si>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</si>
  <si>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</si>
  <si>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</si>
  <si>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</si>
  <si>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</si>
  <si>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</si>
  <si>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</si>
  <si>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</si>
  <si>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</si>
  <si>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</si>
  <si>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</si>
  <si>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</si>
  <si>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</si>
  <si>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</si>
  <si>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</si>
  <si>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</si>
  <si>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</si>
  <si>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</si>
  <si>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</si>
  <si>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</si>
  <si>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</si>
  <si>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</si>
  <si>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</si>
  <si>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</si>
  <si>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</si>
  <si>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</si>
  <si>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</si>
  <si>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</si>
  <si>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</si>
  <si>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</si>
  <si>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</si>
  <si>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</si>
  <si>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</si>
  <si>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</si>
  <si>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</si>
  <si>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</si>
  <si>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</si>
  <si>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</si>
  <si>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</si>
  <si>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</si>
  <si>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</si>
  <si>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</si>
  <si>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</si>
  <si>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</si>
  <si>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</si>
  <si>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</si>
  <si>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</si>
  <si>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</si>
  <si>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</si>
  <si>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</si>
  <si>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</si>
  <si>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</si>
  <si>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</si>
  <si>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</si>
  <si>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</si>
  <si>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</si>
  <si>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</si>
  <si>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</si>
  <si>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</si>
  <si>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</si>
  <si>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</si>
  <si>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</si>
  <si>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</si>
  <si>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</si>
  <si>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</si>
  <si>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</si>
  <si>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</si>
  <si>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</si>
  <si>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</si>
  <si>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</si>
  <si>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</si>
  <si>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</si>
  <si>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</si>
  <si>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</si>
  <si>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</si>
  <si>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</si>
  <si>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</si>
  <si>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</si>
  <si>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</si>
  <si>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</si>
  <si>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</si>
  <si>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</si>
  <si>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</si>
  <si>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</si>
  <si>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</si>
  <si>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</si>
  <si>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</si>
  <si>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</si>
  <si>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</si>
  <si>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</si>
  <si>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</si>
  <si>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</si>
  <si>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</si>
  <si>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</si>
  <si>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</si>
  <si>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</si>
  <si>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</si>
  <si>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</si>
  <si>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</si>
  <si>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</si>
  <si>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</si>
  <si>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</si>
  <si>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</si>
  <si>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</si>
  <si>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</si>
  <si>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</si>
  <si>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</si>
  <si>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</si>
  <si>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</si>
  <si>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</si>
  <si>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</si>
  <si>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</si>
  <si>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</si>
  <si>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</si>
  <si>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</si>
  <si>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</si>
  <si>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</si>
  <si>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</si>
  <si>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</si>
  <si>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</si>
  <si>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</si>
  <si>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</si>
  <si>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</si>
  <si>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</si>
  <si>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</si>
  <si>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</si>
  <si>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</si>
  <si>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</si>
  <si>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</si>
  <si>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</si>
  <si>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</si>
  <si>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</si>
  <si>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</si>
  <si>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</si>
  <si>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</si>
  <si>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</si>
  <si>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</si>
  <si>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</si>
  <si>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</si>
  <si>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</si>
  <si>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</si>
  <si>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</si>
  <si>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</si>
  <si>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</si>
  <si>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</si>
  <si>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</si>
  <si>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</si>
  <si>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</si>
  <si>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</si>
  <si>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</si>
  <si>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</si>
  <si>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</si>
  <si>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</si>
  <si>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</si>
  <si>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</si>
  <si>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</si>
  <si>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</si>
  <si>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</si>
  <si>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</si>
  <si>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</si>
  <si>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</si>
  <si>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</si>
  <si>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</si>
  <si>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</si>
  <si>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</si>
  <si>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</si>
  <si>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</si>
  <si>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</si>
  <si>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</si>
  <si>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</si>
  <si>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</si>
  <si>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</si>
  <si>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</si>
  <si>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</si>
  <si>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</si>
  <si>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</si>
  <si>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</si>
  <si>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</si>
  <si>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</si>
  <si>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</si>
  <si>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</si>
  <si>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</si>
  <si>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</si>
  <si>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</si>
  <si>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</si>
  <si>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</si>
  <si>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</si>
  <si>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</si>
  <si>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</si>
  <si>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</si>
  <si>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</si>
  <si>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</si>
  <si>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</si>
  <si>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</si>
  <si>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</si>
  <si>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</si>
  <si>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</si>
  <si>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</si>
  <si>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</si>
  <si>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</si>
  <si>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</si>
  <si>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</si>
  <si>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</si>
  <si>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</si>
  <si>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</si>
  <si>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</si>
  <si>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</si>
  <si>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</si>
  <si>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</si>
  <si>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</si>
  <si>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</si>
  <si>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</si>
  <si>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</si>
  <si>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</si>
  <si>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</si>
  <si>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</si>
  <si>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</si>
  <si>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</si>
  <si>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</si>
  <si>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</si>
  <si>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</si>
  <si>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</si>
  <si>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</si>
  <si>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</si>
  <si>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</si>
  <si>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</si>
  <si>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</si>
  <si>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</si>
  <si>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</si>
  <si>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</si>
  <si>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</si>
  <si>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</si>
  <si>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</si>
  <si>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</si>
  <si>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</si>
  <si>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</si>
  <si>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</si>
  <si>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</si>
  <si>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</si>
  <si>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</si>
  <si>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</si>
  <si>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</si>
  <si>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</si>
  <si>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</si>
  <si>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</si>
  <si>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</si>
  <si>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</si>
  <si>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</si>
  <si>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</si>
  <si>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</si>
  <si>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</si>
  <si>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</si>
  <si>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</si>
  <si>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</si>
  <si>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</si>
  <si>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</si>
  <si>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</si>
  <si>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</si>
  <si>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</si>
  <si>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</si>
  <si>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</si>
  <si>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</si>
  <si>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</si>
  <si>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</si>
  <si>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</si>
  <si>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</si>
  <si>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</si>
  <si>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</si>
  <si>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</si>
  <si>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</si>
  <si>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</si>
  <si>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</si>
  <si>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</si>
  <si>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</si>
  <si>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</si>
  <si>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</si>
  <si>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</si>
  <si>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</si>
  <si>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</si>
  <si>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</si>
  <si>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</si>
  <si>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</si>
  <si>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</si>
  <si>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</si>
  <si>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</si>
  <si>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</si>
  <si>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</si>
  <si>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</si>
  <si>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</si>
  <si>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</si>
  <si>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</si>
  <si>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</si>
  <si>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</si>
  <si>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</si>
  <si>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</si>
  <si>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</si>
  <si>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</si>
  <si>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</si>
  <si>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</si>
  <si>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</si>
  <si>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</si>
  <si>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</si>
  <si>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</si>
  <si>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</si>
  <si>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</si>
  <si>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</si>
  <si>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</si>
  <si>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</si>
  <si>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</si>
  <si>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</si>
  <si>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</si>
  <si>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</si>
  <si>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</si>
  <si>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</si>
  <si>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</si>
  <si>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</si>
  <si>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</si>
  <si>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</si>
  <si>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</si>
  <si>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</si>
  <si>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</si>
  <si>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</si>
  <si>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</si>
  <si>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</si>
  <si>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</si>
  <si>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</si>
  <si>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</si>
  <si>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</si>
  <si>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</si>
  <si>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</si>
  <si>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</si>
  <si>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</si>
  <si>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</si>
  <si>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</si>
  <si>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</si>
  <si>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</si>
  <si>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</si>
  <si>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</si>
  <si>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</si>
  <si>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</si>
  <si>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</si>
  <si>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</si>
  <si>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</si>
  <si>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</si>
  <si>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</si>
  <si>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</si>
  <si>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</si>
  <si>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</si>
  <si>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</si>
  <si>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</si>
  <si>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</si>
  <si>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</si>
  <si>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</si>
  <si>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</si>
  <si>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</si>
  <si>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</si>
  <si>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</si>
  <si>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</si>
  <si>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</si>
  <si>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</si>
  <si>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</si>
  <si>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</si>
  <si>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</si>
  <si>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</si>
  <si>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</si>
  <si>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</si>
  <si>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</si>
  <si>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</si>
  <si>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</si>
  <si>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</si>
  <si>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</si>
  <si>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</si>
  <si>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</si>
  <si>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</si>
  <si>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</si>
  <si>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</si>
  <si>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</si>
  <si>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</si>
  <si>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</si>
  <si>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</si>
  <si>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</si>
  <si>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</si>
  <si>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</si>
  <si>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</si>
  <si>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</si>
  <si>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</si>
  <si>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</si>
  <si>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</si>
  <si>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</si>
  <si>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</si>
  <si>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</si>
  <si>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</si>
  <si>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</si>
  <si>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</si>
  <si>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</si>
  <si>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</si>
  <si>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</si>
  <si>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</si>
  <si>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</si>
  <si>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</si>
  <si>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</si>
  <si>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</si>
  <si>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</si>
  <si>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</si>
  <si>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</si>
  <si>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</si>
  <si>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</si>
  <si>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</si>
  <si>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</si>
  <si>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</si>
  <si>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</si>
  <si>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</si>
  <si>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</si>
  <si>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</si>
  <si>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</si>
  <si>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</si>
  <si>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</si>
  <si>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</si>
  <si>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</si>
  <si>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</si>
  <si>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</si>
  <si>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</si>
  <si>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</si>
  <si>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</si>
  <si>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</si>
  <si>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</si>
  <si>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</si>
  <si>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</si>
  <si>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</si>
  <si>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</si>
  <si>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</si>
  <si>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</si>
  <si>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</si>
  <si>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</si>
  <si>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</si>
  <si>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</si>
  <si>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</si>
  <si>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</si>
  <si>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</si>
  <si>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</si>
  <si>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</si>
  <si>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</si>
  <si>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</si>
  <si>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</si>
  <si>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</si>
  <si>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</si>
  <si>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</si>
  <si>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</si>
  <si>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</si>
  <si>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</si>
  <si>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</si>
  <si>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</si>
  <si>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</si>
  <si>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</si>
  <si>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</si>
  <si>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</si>
  <si>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</si>
  <si>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</si>
  <si>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</si>
  <si>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</si>
  <si>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</si>
  <si>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</si>
  <si>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</si>
  <si>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</si>
  <si>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</si>
  <si>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</si>
  <si>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</si>
  <si>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</si>
  <si>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</si>
  <si>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</si>
  <si>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</si>
  <si>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</si>
  <si>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</si>
  <si>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</si>
  <si>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</si>
  <si>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</si>
  <si>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</si>
  <si>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</si>
  <si>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</si>
  <si>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</si>
  <si>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</si>
  <si>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</si>
  <si>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</si>
  <si>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</si>
  <si>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</si>
  <si>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</si>
  <si>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</si>
  <si>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</si>
  <si>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</si>
  <si>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</si>
  <si>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</si>
  <si>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</si>
  <si>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</si>
  <si>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</si>
  <si>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</si>
  <si>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</si>
  <si>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</si>
  <si>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</si>
  <si>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</si>
  <si>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</si>
  <si>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</si>
  <si>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</si>
  <si>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</si>
  <si>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</si>
  <si>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</si>
  <si>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</si>
  <si>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</si>
  <si>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</si>
  <si>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</si>
  <si>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</si>
  <si>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</si>
  <si>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</si>
  <si>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</si>
  <si>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</si>
  <si>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</si>
  <si>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</si>
  <si>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</si>
  <si>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</si>
  <si>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</si>
  <si>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</si>
  <si>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</si>
  <si>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</si>
  <si>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</si>
  <si>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</si>
  <si>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</si>
  <si>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</si>
  <si>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</si>
  <si>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</si>
  <si>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</si>
  <si>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</si>
  <si>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</si>
  <si>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</si>
  <si>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</si>
  <si>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</si>
  <si>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</si>
  <si>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</si>
  <si>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</si>
  <si>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</si>
  <si>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</si>
  <si>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</si>
  <si>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</si>
  <si>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</si>
  <si>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</si>
  <si>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</si>
  <si>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</si>
  <si>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</si>
  <si>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</si>
  <si>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</si>
  <si>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</si>
  <si>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</si>
  <si>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</si>
  <si>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</si>
  <si>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</si>
  <si>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</si>
  <si>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</si>
  <si>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</si>
  <si>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</si>
  <si>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</si>
  <si>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</si>
  <si>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</si>
  <si>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</si>
  <si>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</si>
  <si>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</si>
  <si>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</si>
  <si>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</si>
  <si>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</si>
  <si>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</si>
  <si>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</si>
  <si>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</si>
  <si>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</si>
  <si>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</si>
  <si>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</si>
  <si>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</si>
  <si>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</si>
  <si>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</si>
  <si>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</si>
  <si>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</si>
  <si>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</si>
  <si>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</si>
  <si>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</si>
  <si>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</si>
  <si>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</si>
  <si>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</si>
  <si>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</si>
  <si>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</si>
  <si>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</si>
  <si>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</si>
  <si>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</si>
  <si>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</si>
  <si>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</si>
  <si>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</si>
  <si>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</si>
  <si>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</si>
  <si>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</si>
  <si>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</si>
  <si>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</si>
  <si>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</si>
  <si>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</si>
  <si>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</si>
  <si>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</si>
  <si>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</si>
  <si>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</si>
  <si>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</si>
  <si>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</si>
  <si>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</si>
  <si>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</si>
  <si>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</si>
  <si>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</si>
  <si>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</si>
  <si>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</si>
  <si>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</si>
  <si>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</si>
  <si>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</si>
  <si>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</si>
  <si>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</si>
  <si>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</si>
  <si>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</si>
  <si>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</si>
  <si>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</si>
  <si>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</si>
  <si>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</si>
  <si>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</si>
  <si>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</si>
  <si>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</si>
  <si>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</si>
  <si>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</si>
  <si>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</si>
  <si>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</si>
  <si>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</si>
  <si>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</si>
  <si>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</si>
  <si>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</si>
  <si>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</si>
  <si>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</si>
  <si>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</si>
  <si>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</si>
  <si>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</si>
  <si>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</si>
  <si>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</si>
  <si>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</si>
  <si>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</si>
  <si>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</si>
  <si>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</si>
  <si>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</si>
  <si>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</si>
  <si>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</si>
  <si>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</si>
  <si>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</si>
  <si>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</si>
  <si>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</si>
  <si>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</si>
  <si>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</si>
  <si>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</si>
  <si>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</si>
  <si>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</si>
  <si>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</si>
  <si>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</si>
  <si>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</si>
  <si>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</si>
  <si>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</si>
  <si>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</si>
  <si>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</si>
  <si>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</si>
  <si>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</si>
  <si>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</si>
  <si>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</si>
  <si>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</si>
  <si>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</si>
  <si>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</si>
  <si>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</si>
  <si>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</si>
  <si>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</si>
  <si>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</si>
  <si>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</si>
  <si>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</si>
  <si>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</si>
  <si>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</si>
  <si>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</si>
  <si>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</si>
  <si>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</si>
  <si>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</si>
  <si>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</si>
  <si>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</si>
  <si>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</si>
  <si>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</si>
  <si>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</si>
  <si>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</si>
  <si>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</si>
  <si>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</si>
  <si>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</si>
  <si>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</si>
  <si>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</si>
  <si>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</si>
  <si>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</si>
  <si>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</si>
  <si>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</si>
  <si>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</si>
  <si>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</si>
  <si>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</si>
  <si>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</si>
  <si>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</si>
  <si>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</si>
  <si>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</si>
  <si>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</si>
  <si>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</si>
  <si>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</si>
  <si>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</si>
  <si>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</si>
  <si>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</si>
  <si>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</si>
  <si>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</si>
  <si>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</si>
  <si>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</si>
  <si>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</si>
  <si>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</si>
  <si>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</si>
  <si>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</si>
  <si>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</si>
  <si>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</si>
  <si>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</si>
  <si>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</si>
  <si>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</si>
  <si>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</si>
  <si>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</si>
  <si>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</si>
  <si>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</si>
  <si>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</si>
  <si>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</si>
  <si>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</si>
  <si>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</si>
  <si>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</si>
  <si>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</si>
  <si>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</si>
  <si>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</si>
  <si>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</si>
  <si>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</si>
  <si>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</si>
  <si>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</si>
  <si>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</si>
  <si>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</si>
  <si>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</si>
  <si>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</si>
  <si>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</si>
  <si>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</si>
  <si>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</si>
  <si>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</si>
  <si>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</si>
  <si>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</si>
  <si>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</si>
  <si>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</si>
  <si>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</si>
  <si>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</si>
  <si>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</si>
  <si>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</si>
  <si>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</si>
  <si>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</si>
  <si>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</si>
  <si>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</si>
  <si>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</si>
  <si>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</si>
  <si>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</si>
  <si>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</si>
  <si>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</si>
  <si>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</si>
  <si>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</si>
  <si>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</si>
  <si>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</si>
  <si>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</si>
  <si>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</si>
  <si>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</si>
  <si>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</si>
  <si>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</si>
  <si>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</si>
  <si>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</si>
  <si>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</si>
  <si>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</si>
  <si>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</si>
  <si>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</si>
  <si>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</si>
  <si>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</si>
  <si>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</si>
  <si>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</si>
  <si>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</si>
  <si>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</si>
  <si>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</si>
  <si>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</si>
  <si>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</si>
  <si>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</si>
  <si>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</si>
  <si>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</si>
  <si>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</si>
  <si>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</si>
  <si>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</si>
  <si>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</si>
  <si>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</si>
  <si>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</si>
  <si>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</si>
  <si>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</si>
  <si>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</si>
  <si>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</si>
  <si>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</si>
  <si>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</si>
  <si>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</si>
  <si>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</si>
  <si>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</si>
  <si>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</si>
  <si>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</si>
  <si>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</si>
  <si>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</si>
  <si>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</si>
  <si>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</si>
  <si>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</si>
  <si>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</si>
  <si>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</si>
  <si>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</si>
  <si>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</si>
  <si>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</si>
  <si>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</si>
  <si>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</si>
  <si>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</si>
  <si>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</si>
  <si>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</si>
  <si>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</si>
  <si>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</si>
  <si>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</si>
  <si>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</si>
  <si>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</si>
  <si>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</si>
  <si>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</si>
  <si>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</si>
  <si>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</si>
  <si>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</si>
  <si>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</si>
  <si>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</si>
  <si>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</si>
  <si>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</si>
  <si>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</si>
  <si>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</si>
  <si>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</si>
  <si>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</si>
  <si>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</si>
  <si>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</si>
  <si>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</si>
  <si>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</si>
  <si>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</si>
  <si>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</si>
  <si>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</si>
  <si>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</si>
  <si>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</si>
  <si>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</si>
  <si>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</si>
  <si>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</si>
  <si>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</si>
  <si>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</si>
  <si>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</si>
  <si>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</si>
  <si>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</si>
  <si>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</si>
  <si>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</si>
  <si>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</si>
  <si>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</si>
  <si>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</si>
  <si>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</si>
  <si>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</si>
  <si>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</si>
  <si>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</si>
  <si>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</si>
  <si>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</si>
  <si>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</si>
  <si>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</si>
  <si>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</si>
  <si>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</si>
  <si>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</si>
  <si>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</si>
  <si>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</si>
  <si>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</si>
  <si>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</si>
  <si>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</si>
  <si>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</si>
  <si>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</si>
  <si>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</si>
  <si>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</si>
  <si>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</si>
  <si>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</si>
  <si>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</si>
  <si>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</si>
  <si>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</si>
  <si>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</si>
  <si>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</si>
  <si>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</si>
  <si>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</si>
  <si>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</si>
  <si>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</si>
  <si>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</si>
  <si>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</si>
  <si>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</si>
  <si>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</si>
  <si>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</si>
  <si>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</si>
  <si>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</si>
  <si>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</si>
  <si>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</si>
  <si>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</si>
  <si>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</si>
  <si>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</si>
  <si>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</si>
  <si>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</si>
  <si>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</si>
  <si>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</si>
  <si>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</si>
  <si>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</si>
  <si>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</si>
  <si>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</si>
  <si>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</si>
  <si>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</si>
  <si>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</si>
  <si>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</si>
  <si>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</si>
  <si>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</si>
  <si>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</si>
  <si>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</si>
  <si>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</si>
  <si>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</si>
  <si>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</si>
  <si>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</si>
  <si>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</si>
  <si>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</si>
  <si>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</si>
  <si>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</si>
  <si>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</si>
  <si>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</si>
  <si>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</si>
  <si>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</si>
  <si>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</si>
  <si>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</si>
  <si>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</si>
  <si>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</si>
  <si>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</si>
  <si>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</si>
  <si>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</si>
  <si>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</si>
  <si>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</si>
  <si>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</si>
  <si>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</si>
  <si>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</si>
  <si>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</si>
  <si>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</si>
  <si>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</si>
  <si>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</si>
  <si>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</si>
  <si>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</si>
  <si>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</si>
  <si>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</si>
  <si>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</si>
  <si>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</si>
  <si>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</si>
  <si>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</si>
  <si>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</si>
  <si>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</si>
  <si>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</si>
  <si>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</si>
  <si>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</si>
  <si>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</si>
  <si>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</si>
  <si>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</si>
  <si>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</si>
  <si>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</si>
  <si>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</si>
  <si>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</si>
  <si>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</si>
  <si>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</si>
  <si>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</si>
  <si>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</si>
  <si>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</si>
  <si>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</si>
  <si>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</si>
  <si>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</si>
  <si>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</si>
  <si>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</si>
  <si>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</si>
  <si>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</si>
  <si>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</si>
  <si>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</si>
  <si>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</si>
  <si>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</si>
  <si>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</si>
  <si>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</si>
  <si>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</si>
  <si>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</si>
  <si>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</si>
  <si>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</si>
  <si>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</si>
  <si>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</si>
  <si>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</si>
  <si>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</si>
  <si>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</si>
  <si>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</si>
  <si>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</si>
  <si>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</si>
  <si>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</si>
  <si>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</si>
  <si>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</si>
  <si>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</si>
  <si>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</si>
  <si>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</si>
  <si>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</si>
  <si>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</si>
  <si>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</si>
  <si>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</si>
  <si>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</si>
  <si>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</si>
  <si>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</si>
  <si>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</si>
  <si>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</si>
  <si>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</si>
  <si>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</si>
  <si>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</si>
  <si>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</si>
  <si>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</si>
  <si>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</si>
  <si>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</si>
  <si>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</si>
  <si>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</si>
  <si>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</si>
  <si>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</si>
  <si>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</si>
  <si>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</si>
  <si>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</si>
  <si>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</si>
  <si>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</si>
  <si>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</si>
  <si>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</si>
  <si>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</si>
  <si>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</si>
  <si>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</si>
  <si>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</si>
  <si>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</si>
  <si>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</si>
  <si>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</si>
  <si>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</si>
  <si>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</si>
  <si>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</si>
  <si>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</si>
  <si>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</si>
  <si>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</si>
  <si>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</si>
  <si>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</si>
  <si>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</si>
  <si>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</si>
  <si>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</si>
  <si>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</si>
  <si>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</si>
  <si>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</si>
  <si>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</si>
  <si>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</si>
  <si>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</si>
  <si>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</si>
  <si>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</si>
  <si>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</si>
  <si>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</si>
  <si>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</si>
  <si>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</si>
  <si>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</si>
  <si>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</si>
  <si>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</si>
  <si>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</si>
  <si>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</si>
  <si>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</si>
  <si>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</si>
  <si>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</si>
  <si>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</si>
  <si>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</si>
  <si>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</si>
  <si>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</si>
  <si>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</si>
  <si>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</si>
  <si>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</si>
  <si>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</si>
  <si>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</si>
  <si>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</si>
  <si>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</si>
  <si>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</si>
  <si>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</si>
  <si>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</si>
  <si>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</si>
  <si>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</si>
  <si>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</si>
  <si>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</si>
  <si>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</si>
  <si>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</si>
  <si>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</si>
  <si>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</si>
  <si>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</si>
  <si>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</si>
  <si>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</si>
  <si>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</si>
  <si>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</si>
  <si>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</si>
  <si>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</si>
  <si>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</si>
  <si>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</si>
  <si>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</si>
  <si>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</si>
  <si>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</si>
  <si>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</si>
  <si>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</si>
  <si>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</si>
  <si>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</si>
  <si>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</si>
  <si>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</si>
  <si>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</si>
  <si>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</si>
  <si>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</si>
  <si>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</si>
  <si>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</si>
  <si>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</si>
  <si>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</si>
  <si>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</si>
  <si>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</si>
  <si>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</si>
  <si>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</si>
  <si>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</si>
  <si>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</si>
  <si>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</si>
  <si>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</si>
  <si>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</si>
  <si>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</si>
  <si>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</si>
  <si>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</si>
  <si>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</si>
  <si>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</si>
  <si>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</si>
  <si>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</si>
  <si>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</si>
  <si>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</si>
  <si>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</si>
  <si>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</si>
  <si>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</si>
  <si>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</si>
  <si>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</si>
  <si>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</si>
  <si>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</si>
  <si>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</si>
  <si>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</si>
  <si>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</si>
  <si>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</si>
  <si>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</si>
  <si>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</si>
  <si>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</si>
  <si>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</si>
  <si>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</si>
  <si>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</si>
  <si>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</si>
  <si>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</si>
  <si>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</si>
  <si>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</si>
  <si>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</si>
  <si>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</si>
  <si>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</si>
  <si>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</si>
  <si>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</si>
  <si>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</si>
  <si>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</si>
  <si>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</si>
  <si>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</si>
  <si>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</si>
  <si>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</si>
  <si>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</si>
  <si>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</si>
  <si>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</si>
  <si>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</si>
  <si>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</si>
  <si>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</si>
  <si>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</si>
  <si>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</si>
  <si>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</si>
  <si>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</si>
  <si>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</si>
  <si>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</si>
  <si>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</si>
  <si>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</si>
  <si>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</si>
  <si>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</si>
  <si>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</si>
  <si>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</si>
  <si>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</si>
  <si>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</si>
  <si>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</si>
  <si>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</si>
  <si>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</si>
  <si>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</si>
  <si>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</si>
  <si>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</si>
  <si>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</si>
  <si>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</si>
  <si>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</si>
  <si>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</si>
  <si>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</si>
  <si>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</si>
  <si>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</si>
  <si>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</si>
  <si>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</si>
  <si>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</si>
  <si>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</si>
  <si>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</si>
  <si>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</si>
  <si>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</si>
  <si>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</si>
  <si>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</si>
  <si>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</si>
  <si>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</si>
  <si>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</si>
  <si>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</si>
  <si>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</si>
  <si>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</si>
  <si>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</si>
  <si>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</si>
  <si>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</si>
  <si>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</si>
  <si>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</si>
  <si>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</si>
  <si>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</si>
  <si>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</si>
  <si>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</si>
  <si>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</si>
  <si>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</si>
  <si>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</si>
  <si>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</si>
  <si>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</si>
  <si>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</si>
  <si>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</si>
  <si>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</si>
  <si>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</si>
  <si>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</si>
  <si>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</si>
  <si>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</si>
  <si>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</si>
  <si>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</si>
  <si>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</si>
  <si>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</si>
  <si>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</si>
  <si>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</si>
  <si>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</si>
  <si>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</si>
  <si>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</si>
  <si>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</si>
  <si>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</si>
  <si>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</si>
  <si>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</si>
  <si>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</si>
  <si>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</si>
  <si>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</si>
  <si>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</si>
  <si>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</si>
  <si>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</si>
  <si>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</si>
  <si>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</si>
  <si>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</si>
  <si>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</si>
  <si>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</si>
  <si>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</si>
  <si>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</si>
  <si>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</si>
  <si>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</si>
  <si>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</si>
  <si>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</si>
  <si>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</si>
  <si>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</si>
  <si>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</si>
  <si>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</si>
  <si>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</si>
  <si>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</si>
  <si>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</si>
  <si>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</si>
  <si>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</si>
  <si>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</si>
  <si>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</si>
  <si>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</si>
  <si>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</si>
  <si>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</si>
  <si>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</si>
  <si>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</si>
  <si>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</si>
  <si>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</si>
  <si>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</si>
  <si>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</si>
  <si>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</si>
  <si>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</si>
  <si>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</si>
  <si>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</si>
  <si>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</si>
  <si>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</si>
  <si>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</si>
  <si>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</si>
  <si>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</si>
  <si>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</si>
  <si>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</si>
  <si>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</si>
  <si>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</si>
  <si>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</si>
  <si>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</si>
  <si>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</si>
  <si>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</si>
  <si>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</si>
  <si>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</si>
  <si>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</si>
  <si>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</si>
  <si>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</si>
  <si>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</si>
  <si>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</si>
  <si>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</si>
  <si>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</si>
  <si>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</si>
  <si>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</si>
  <si>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</si>
  <si>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</si>
  <si>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</si>
  <si>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</si>
  <si>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</si>
  <si>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</si>
  <si>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</si>
  <si>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</si>
  <si>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</si>
  <si>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</si>
  <si>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</si>
  <si>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</si>
  <si>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</si>
  <si>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</si>
  <si>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</si>
  <si>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</si>
  <si>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</si>
  <si>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</si>
  <si>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</si>
  <si>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</si>
  <si>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</si>
  <si>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</si>
  <si>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</si>
  <si>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</si>
  <si>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</si>
  <si>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</si>
  <si>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</si>
  <si>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</si>
  <si>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</si>
  <si>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</si>
  <si>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</si>
  <si>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</si>
  <si>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</si>
  <si>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</si>
  <si>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</si>
  <si>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</si>
  <si>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</si>
  <si>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</si>
  <si>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</si>
  <si>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</si>
  <si>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</si>
  <si>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</si>
  <si>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</si>
  <si>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</si>
  <si>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</si>
  <si>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</si>
  <si>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</si>
  <si>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</si>
  <si>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</si>
  <si>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</si>
  <si>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</si>
  <si>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</si>
  <si>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</si>
  <si>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</si>
  <si>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</si>
  <si>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</si>
  <si>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</si>
  <si>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</si>
  <si>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</si>
  <si>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</si>
  <si>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</si>
  <si>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</si>
  <si>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</si>
  <si>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</si>
  <si>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</si>
  <si>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</si>
  <si>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</si>
  <si>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</si>
  <si>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</si>
  <si>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</si>
  <si>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</si>
  <si>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</si>
  <si>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</si>
  <si>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</si>
  <si>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</si>
  <si>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</si>
  <si>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</si>
  <si>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</si>
  <si>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</si>
  <si>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</si>
  <si>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</si>
  <si>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</si>
  <si>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</si>
  <si>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</si>
  <si>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</si>
  <si>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</si>
  <si>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</si>
  <si>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</si>
  <si>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</si>
  <si>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</si>
  <si>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</si>
  <si>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</si>
  <si>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</si>
  <si>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</si>
  <si>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</si>
  <si>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</si>
  <si>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</si>
  <si>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</si>
  <si>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</si>
  <si>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</si>
  <si>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</si>
  <si>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</si>
  <si>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</si>
  <si>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</si>
  <si>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</si>
  <si>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</si>
  <si>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</si>
  <si>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</si>
  <si>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</si>
  <si>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</si>
  <si>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</si>
  <si>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</si>
  <si>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</si>
  <si>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</si>
  <si>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</si>
  <si>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</si>
  <si>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</si>
  <si>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</si>
  <si>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</si>
  <si>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</si>
  <si>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</si>
  <si>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</si>
  <si>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</si>
  <si>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</si>
  <si>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</si>
  <si>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</si>
  <si>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</si>
  <si>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</si>
  <si>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</si>
  <si>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</si>
  <si>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</si>
  <si>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</si>
  <si>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</si>
  <si>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</si>
  <si>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</si>
  <si>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</si>
  <si>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</si>
  <si>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</si>
  <si>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</si>
  <si>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</si>
  <si>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</si>
  <si>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</si>
  <si>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</si>
  <si>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</si>
  <si>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</si>
  <si>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</si>
  <si>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</si>
  <si>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</si>
  <si>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</si>
  <si>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</si>
  <si>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</si>
  <si>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</si>
  <si>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</si>
  <si>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</si>
  <si>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</si>
  <si>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</si>
  <si>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</si>
  <si>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</si>
  <si>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</si>
  <si>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</si>
  <si>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</si>
  <si>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</si>
  <si>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</si>
  <si>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</si>
  <si>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</si>
  <si>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</si>
  <si>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</si>
  <si>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</si>
  <si>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</si>
  <si>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</si>
  <si>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</si>
  <si>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</si>
  <si>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</si>
  <si>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</si>
  <si>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</si>
  <si>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</si>
  <si>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</si>
  <si>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</si>
  <si>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</si>
  <si>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</si>
  <si>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</si>
  <si>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</si>
  <si>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</si>
  <si>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</si>
  <si>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</si>
  <si>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</si>
  <si>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</si>
  <si>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</si>
  <si>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</si>
  <si>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</si>
  <si>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</si>
  <si>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</si>
  <si>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</si>
  <si>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</si>
  <si>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</si>
  <si>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</si>
  <si>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</si>
  <si>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</si>
  <si>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</si>
  <si>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</si>
  <si>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</si>
  <si>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</si>
  <si>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</si>
  <si>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</si>
  <si>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</si>
  <si>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</si>
  <si>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</si>
  <si>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</si>
  <si>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</si>
  <si>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</si>
  <si>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</si>
  <si>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</si>
  <si>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</si>
  <si>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</si>
  <si>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</si>
  <si>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</si>
  <si>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</si>
  <si>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</si>
  <si>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</si>
  <si>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</si>
  <si>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</si>
  <si>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</si>
  <si>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</si>
  <si>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</si>
  <si>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</si>
  <si>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</si>
  <si>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</si>
  <si>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</si>
  <si>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</si>
  <si>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</si>
  <si>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</si>
  <si>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</si>
  <si>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</si>
  <si>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</si>
  <si>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</si>
  <si>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</si>
  <si>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</si>
  <si>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</si>
  <si>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</si>
  <si>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</si>
  <si>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</si>
  <si>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</si>
  <si>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</si>
  <si>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</si>
  <si>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</si>
  <si>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</si>
  <si>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</si>
  <si>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</si>
  <si>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</si>
  <si>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</si>
  <si>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</si>
  <si>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</si>
  <si>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</si>
  <si>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</si>
  <si>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</si>
  <si>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</si>
  <si>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</si>
  <si>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</si>
  <si>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</si>
  <si>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</si>
  <si>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</si>
  <si>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</si>
  <si>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</si>
  <si>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</si>
  <si>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</si>
  <si>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</si>
  <si>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</si>
  <si>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</si>
  <si>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</si>
  <si>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</si>
  <si>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</si>
  <si>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</si>
  <si>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</si>
  <si>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</si>
  <si>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</si>
  <si>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</si>
  <si>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</si>
  <si>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</si>
  <si>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</si>
  <si>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</si>
  <si>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</si>
  <si>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</si>
  <si>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</si>
  <si>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</si>
  <si>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</si>
  <si>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</si>
  <si>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</si>
  <si>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</si>
  <si>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</si>
  <si>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</si>
  <si>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</si>
  <si>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</si>
  <si>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</si>
  <si>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</si>
  <si>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</si>
  <si>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</si>
  <si>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</si>
  <si>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</si>
  <si>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</si>
  <si>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</si>
  <si>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</si>
  <si>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</si>
  <si>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</si>
  <si>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</si>
  <si>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</si>
  <si>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</si>
  <si>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</si>
  <si>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</si>
  <si>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</si>
  <si>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</si>
  <si>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</si>
  <si>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</si>
  <si>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</si>
  <si>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</si>
  <si>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</si>
  <si>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</si>
  <si>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</si>
  <si>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</si>
  <si>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</si>
  <si>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</si>
  <si>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</si>
  <si>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</si>
  <si>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</si>
  <si>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</si>
  <si>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</si>
  <si>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</si>
  <si>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</si>
  <si>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</si>
  <si>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</si>
  <si>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</si>
  <si>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</si>
  <si>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</si>
  <si>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</si>
  <si>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</si>
  <si>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</si>
  <si>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</si>
  <si>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</si>
  <si>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</si>
  <si>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</si>
  <si>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</si>
  <si>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</si>
  <si>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</si>
  <si>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</si>
  <si>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</si>
  <si>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</si>
  <si>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</si>
  <si>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</si>
  <si>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</si>
  <si>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</si>
  <si>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</si>
  <si>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</si>
  <si>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</si>
  <si>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</si>
  <si>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</si>
  <si>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</si>
  <si>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</si>
  <si>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</si>
  <si>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</si>
  <si>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</si>
  <si>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</si>
  <si>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</si>
  <si>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</si>
  <si>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</si>
  <si>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</si>
  <si>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</si>
  <si>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</si>
  <si>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</si>
  <si>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</si>
  <si>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</si>
  <si>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</si>
  <si>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</si>
  <si>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</si>
  <si>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</si>
  <si>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</si>
  <si>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</si>
  <si>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</si>
  <si>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</si>
  <si>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</si>
  <si>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</si>
  <si>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</si>
  <si>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</si>
  <si>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</si>
  <si>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</si>
  <si>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</si>
  <si>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</si>
  <si>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</si>
  <si>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</si>
  <si>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</si>
  <si>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</si>
  <si>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</si>
  <si>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</si>
  <si>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</si>
  <si>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</si>
  <si>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</si>
  <si>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</si>
  <si>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</si>
  <si>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</si>
  <si>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</si>
  <si>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</si>
  <si>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</si>
  <si>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</si>
  <si>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</si>
  <si>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</si>
  <si>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</si>
  <si>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</si>
  <si>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</si>
  <si>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</si>
  <si>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</si>
  <si>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</si>
  <si>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</si>
  <si>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</si>
  <si>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</si>
  <si>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</si>
  <si>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</si>
  <si>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</si>
  <si>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</si>
  <si>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</si>
  <si>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</si>
  <si>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</si>
  <si>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</si>
  <si>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</si>
  <si>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</si>
  <si>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</si>
  <si>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</si>
  <si>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</si>
  <si>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</si>
  <si>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</si>
  <si>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</si>
  <si>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</si>
  <si>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</si>
  <si>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</si>
  <si>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</si>
  <si>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</si>
  <si>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</si>
  <si>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</si>
  <si>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</si>
  <si>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</si>
  <si>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</si>
  <si>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</si>
  <si>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</si>
  <si>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</si>
  <si>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</si>
  <si>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</si>
  <si>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</si>
  <si>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</si>
  <si>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</si>
  <si>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</si>
  <si>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</si>
  <si>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</si>
  <si>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</si>
  <si>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</si>
  <si>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</si>
  <si>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</si>
  <si>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</si>
  <si>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</si>
  <si>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</si>
  <si>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</si>
  <si>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</si>
  <si>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</si>
  <si>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</si>
  <si>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</si>
  <si>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</si>
  <si>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</si>
  <si>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</si>
  <si>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</si>
  <si>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</si>
  <si>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</si>
  <si>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</si>
  <si>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</si>
  <si>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</si>
  <si>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</si>
  <si>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</si>
  <si>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</si>
  <si>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</si>
  <si>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</si>
  <si>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</si>
  <si>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</si>
  <si>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</si>
  <si>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</si>
  <si>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</si>
  <si>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</si>
  <si>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</si>
  <si>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</si>
  <si>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</si>
  <si>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</si>
  <si>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</si>
  <si>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</si>
  <si>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</si>
  <si>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</si>
  <si>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</si>
  <si>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</si>
  <si>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</si>
  <si>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</si>
  <si>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</si>
  <si>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</si>
  <si>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</si>
  <si>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</si>
  <si>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</si>
  <si>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</si>
  <si>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</si>
  <si>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</si>
  <si>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</si>
  <si>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</si>
  <si>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</si>
  <si>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</si>
  <si>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</si>
  <si>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</si>
  <si>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</si>
  <si>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</si>
  <si>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</si>
  <si>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</si>
  <si>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</si>
  <si>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</si>
  <si>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</si>
  <si>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</si>
  <si>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</si>
  <si>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</si>
  <si>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</si>
  <si>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</si>
  <si>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</si>
  <si>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</si>
  <si>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</si>
  <si>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</si>
  <si>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</si>
  <si>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</si>
  <si>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</si>
  <si>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</si>
  <si>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</si>
  <si>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</si>
  <si>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</si>
  <si>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</si>
  <si>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</si>
  <si>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</si>
  <si>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</si>
  <si>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</si>
  <si>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</si>
  <si>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</si>
  <si>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</si>
  <si>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</si>
  <si>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</si>
  <si>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</si>
  <si>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</si>
  <si>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</si>
  <si>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</si>
  <si>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</si>
  <si>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</si>
  <si>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</si>
  <si>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</si>
  <si>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</si>
  <si>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</si>
  <si>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</si>
  <si>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</si>
  <si>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</si>
  <si>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</si>
  <si>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</si>
  <si>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</si>
  <si>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</si>
  <si>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</si>
  <si>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</si>
  <si>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</si>
  <si>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</si>
  <si>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</si>
  <si>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</si>
  <si>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</si>
  <si>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</si>
  <si>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</si>
  <si>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</si>
  <si>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</si>
  <si>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</si>
  <si>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</si>
  <si>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</si>
  <si>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</si>
  <si>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</si>
  <si>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</si>
  <si>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</si>
  <si>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</si>
  <si>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</si>
  <si>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</si>
  <si>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</si>
  <si>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</si>
  <si>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</si>
  <si>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</si>
  <si>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</si>
  <si>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</si>
  <si>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</si>
  <si>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</si>
  <si>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</si>
  <si>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</si>
  <si>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</si>
  <si>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</si>
  <si>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</si>
  <si>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</si>
  <si>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</si>
  <si>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</si>
  <si>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</si>
  <si>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</si>
  <si>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</si>
  <si>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</si>
  <si>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</si>
  <si>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</si>
  <si>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</si>
  <si>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</si>
  <si>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</si>
  <si>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</si>
  <si>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</si>
  <si>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</si>
  <si>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</si>
  <si>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</si>
  <si>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</si>
  <si>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</si>
  <si>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</si>
  <si>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</si>
  <si>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</si>
  <si>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</si>
  <si>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</si>
  <si>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</si>
  <si>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</si>
  <si>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</si>
  <si>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</si>
  <si>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</si>
  <si>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</si>
  <si>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</si>
  <si>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</si>
  <si>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</si>
  <si>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</si>
  <si>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</si>
  <si>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</si>
  <si>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</si>
  <si>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</si>
  <si>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</si>
  <si>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</si>
  <si>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</si>
  <si>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</si>
  <si>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</si>
  <si>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</si>
  <si>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</si>
  <si>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</si>
  <si>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</si>
  <si>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</si>
  <si>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</si>
  <si>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</si>
  <si>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</si>
  <si>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</si>
  <si>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</si>
  <si>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</si>
  <si>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</si>
  <si>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</si>
  <si>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</si>
  <si>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</si>
  <si>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</si>
  <si>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</si>
  <si>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</si>
  <si>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</si>
  <si>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</si>
  <si>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</si>
  <si>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</si>
  <si>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</si>
  <si>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</si>
  <si>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</si>
  <si>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</si>
  <si>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</si>
  <si>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</si>
  <si>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</si>
  <si>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</si>
  <si>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</si>
  <si>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</si>
  <si>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</si>
  <si>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</si>
  <si>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</si>
  <si>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</si>
  <si>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</si>
  <si>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</si>
  <si>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</si>
  <si>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</si>
  <si>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</si>
  <si>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</si>
  <si>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</si>
  <si>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</si>
  <si>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</si>
  <si>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</si>
  <si>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</si>
  <si>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</si>
  <si>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</si>
  <si>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</si>
  <si>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</si>
  <si>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</si>
  <si>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</si>
  <si>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</si>
  <si>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</si>
  <si>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</si>
  <si>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</si>
  <si>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</si>
  <si>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</si>
  <si>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</si>
  <si>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</si>
  <si>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</si>
  <si>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</si>
  <si>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</si>
  <si>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</si>
  <si>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</si>
  <si>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</si>
  <si>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</si>
  <si>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</si>
  <si>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</si>
  <si>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</si>
  <si>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</si>
  <si>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</si>
  <si>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</si>
  <si>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</si>
  <si>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</si>
  <si>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</si>
  <si>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</si>
  <si>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</si>
  <si>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</si>
  <si>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</si>
  <si>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</si>
  <si>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</si>
  <si>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</si>
  <si>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</si>
  <si>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</si>
  <si>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</si>
  <si>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</si>
  <si>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</si>
  <si>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</si>
  <si>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</si>
  <si>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</si>
  <si>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</si>
  <si>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</si>
  <si>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</si>
  <si>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</si>
  <si>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</si>
  <si>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</si>
  <si>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</si>
  <si>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</si>
  <si>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</si>
  <si>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</si>
  <si>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</si>
  <si>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</si>
  <si>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</si>
  <si>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</si>
  <si>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</si>
  <si>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</si>
  <si>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</si>
  <si>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</si>
  <si>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</si>
  <si>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</si>
  <si>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</si>
  <si>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</si>
  <si>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</si>
  <si>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</si>
  <si>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</si>
  <si>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</si>
  <si>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</si>
  <si>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</si>
  <si>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</si>
  <si>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</si>
  <si>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</si>
  <si>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</si>
  <si>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</si>
  <si>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</si>
  <si>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</si>
  <si>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</si>
  <si>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</si>
  <si>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</si>
  <si>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</si>
  <si>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</si>
  <si>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</si>
  <si>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</si>
  <si>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</si>
  <si>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</si>
  <si>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</si>
  <si>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</si>
  <si>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</si>
  <si>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</si>
  <si>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</si>
  <si>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</si>
  <si>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</si>
  <si>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</si>
  <si>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</si>
  <si>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</si>
  <si>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</si>
  <si>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</si>
  <si>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</si>
  <si>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</si>
  <si>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</si>
  <si>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</si>
  <si>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</si>
  <si>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</si>
  <si>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</si>
  <si>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</si>
  <si>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</si>
  <si>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</si>
  <si>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</si>
  <si>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</si>
  <si>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</si>
  <si>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</si>
  <si>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</si>
  <si>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</si>
  <si>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</si>
  <si>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</si>
  <si>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</si>
  <si>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</si>
  <si>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</si>
  <si>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</si>
  <si>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</si>
  <si>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</si>
  <si>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</si>
  <si>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</si>
  <si>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</si>
  <si>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</si>
  <si>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</si>
  <si>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</si>
  <si>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</si>
  <si>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</si>
  <si>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</si>
  <si>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</si>
  <si>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</si>
  <si>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</si>
  <si>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</si>
  <si>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</si>
  <si>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</si>
  <si>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</si>
  <si>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</si>
  <si>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</si>
  <si>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</si>
  <si>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</si>
  <si>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</si>
  <si>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</si>
  <si>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</si>
  <si>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</si>
  <si>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</si>
  <si>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</si>
  <si>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</si>
  <si>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</si>
  <si>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</si>
  <si>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</si>
  <si>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</si>
  <si>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</si>
  <si>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</si>
  <si>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</si>
  <si>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</si>
  <si>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</si>
  <si>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</si>
  <si>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</si>
  <si>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</si>
  <si>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</si>
  <si>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</si>
  <si>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</si>
  <si>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</si>
  <si>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</si>
  <si>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</si>
  <si>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</si>
  <si>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</si>
  <si>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</si>
  <si>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</si>
  <si>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</si>
  <si>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</si>
  <si>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</si>
  <si>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</si>
  <si>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</si>
  <si>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</si>
  <si>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</si>
  <si>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</si>
  <si>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</si>
  <si>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</si>
  <si>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</si>
  <si>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</si>
  <si>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</si>
  <si>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</si>
  <si>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</si>
  <si>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</si>
  <si>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</si>
  <si>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</si>
  <si>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</si>
  <si>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</si>
  <si>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</si>
  <si>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</si>
  <si>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</si>
  <si>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</si>
  <si>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</si>
  <si>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</si>
  <si>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</si>
  <si>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</si>
  <si>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</si>
  <si>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</si>
  <si>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</si>
  <si>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</si>
  <si>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</si>
  <si>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</si>
  <si>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</si>
  <si>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</si>
  <si>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</si>
  <si>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</si>
  <si>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</si>
  <si>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</si>
  <si>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</si>
  <si>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</si>
  <si>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</si>
  <si>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</si>
  <si>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</si>
  <si>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</si>
  <si>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</si>
  <si>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</si>
  <si>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</si>
  <si>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</si>
  <si>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</si>
  <si>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</si>
  <si>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</si>
  <si>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</si>
  <si>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</si>
  <si>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</si>
  <si>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</si>
  <si>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</si>
  <si>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</si>
  <si>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</si>
  <si>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</si>
  <si>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</si>
  <si>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</si>
  <si>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</si>
  <si>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</si>
  <si>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</si>
  <si>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</si>
  <si>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</si>
  <si>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</si>
  <si>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</si>
  <si>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</si>
  <si>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</si>
  <si>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</si>
  <si>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</si>
  <si>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</si>
  <si>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</si>
  <si>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</si>
  <si>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</si>
  <si>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</si>
  <si>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</si>
  <si>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</si>
  <si>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</si>
  <si>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</si>
  <si>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</si>
  <si>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</si>
  <si>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</si>
  <si>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</si>
  <si>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</si>
  <si>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</si>
  <si>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</si>
  <si>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</si>
  <si>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</si>
  <si>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</si>
  <si>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</si>
  <si>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</si>
  <si>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</si>
  <si>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</si>
  <si>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</si>
  <si>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</si>
  <si>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</si>
  <si>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</si>
  <si>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</si>
  <si>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</si>
  <si>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</si>
  <si>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</si>
  <si>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</si>
  <si>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</si>
  <si>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</si>
  <si>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</si>
  <si>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</si>
  <si>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</si>
  <si>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</si>
  <si>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</si>
  <si>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</si>
  <si>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</si>
  <si>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</si>
  <si>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</si>
  <si>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</si>
  <si>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</si>
  <si>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</si>
  <si>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</si>
  <si>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</si>
  <si>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</si>
  <si>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</si>
  <si>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</si>
  <si>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</si>
  <si>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</si>
  <si>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</si>
  <si>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</si>
  <si>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</si>
  <si>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</si>
  <si>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</si>
  <si>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</si>
  <si>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</si>
  <si>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</si>
  <si>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</si>
  <si>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</si>
  <si>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</si>
  <si>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</si>
  <si>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</si>
  <si>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</si>
  <si>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</si>
  <si>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</si>
  <si>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</si>
  <si>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</si>
  <si>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</si>
  <si>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</si>
  <si>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</si>
  <si>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</si>
  <si>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</si>
  <si>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</si>
  <si>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</si>
  <si>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</si>
  <si>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</si>
  <si>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</si>
  <si>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</si>
  <si>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</si>
  <si>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</si>
  <si>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</si>
  <si>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</si>
  <si>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</si>
  <si>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</si>
  <si>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</si>
  <si>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</si>
  <si>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</si>
  <si>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</si>
  <si>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</si>
  <si>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</si>
  <si>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</si>
  <si>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</si>
  <si>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</si>
  <si>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</si>
  <si>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</si>
  <si>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</si>
  <si>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</si>
  <si>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</si>
  <si>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</si>
  <si>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</si>
  <si>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</si>
  <si>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</si>
  <si>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</si>
  <si>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</si>
  <si>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</si>
  <si>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</si>
  <si>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</si>
  <si>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</si>
  <si>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</si>
  <si>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</si>
  <si>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</si>
  <si>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</si>
  <si>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</si>
  <si>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</si>
  <si>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</si>
  <si>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</si>
  <si>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</si>
  <si>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</si>
  <si>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</si>
  <si>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</si>
  <si>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</si>
  <si>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</si>
  <si>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</si>
  <si>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</si>
  <si>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</si>
  <si>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</si>
  <si>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</si>
  <si>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</si>
  <si>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</si>
  <si>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</si>
  <si>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</si>
  <si>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</si>
  <si>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</si>
  <si>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</si>
  <si>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</si>
  <si>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</si>
  <si>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</si>
  <si>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</si>
  <si>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</si>
  <si>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</si>
  <si>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</si>
  <si>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</si>
  <si>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</si>
  <si>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</si>
  <si>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</si>
  <si>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</si>
  <si>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</si>
  <si>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</si>
  <si>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</si>
  <si>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</si>
  <si>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</si>
  <si>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</si>
  <si>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</si>
  <si>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</si>
  <si>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</si>
  <si>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</si>
  <si>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</si>
  <si>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</si>
  <si>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</si>
  <si>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</si>
  <si>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</si>
  <si>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</si>
  <si>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</si>
  <si>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</si>
  <si>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</si>
  <si>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</si>
  <si>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</si>
  <si>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</si>
  <si>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</si>
  <si>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</si>
  <si>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</si>
  <si>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</si>
  <si>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</si>
  <si>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</si>
  <si>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</si>
  <si>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</si>
  <si>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</si>
  <si>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</si>
  <si>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</si>
  <si>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</si>
  <si>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</si>
  <si>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</si>
  <si>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</si>
  <si>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</si>
  <si>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</si>
  <si>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</si>
  <si>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</si>
  <si>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</si>
  <si>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</si>
  <si>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</si>
  <si>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</si>
  <si>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</si>
  <si>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</si>
  <si>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</si>
  <si>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</si>
  <si>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</si>
  <si>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</si>
  <si>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</si>
  <si>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</si>
  <si>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</si>
  <si>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</si>
  <si>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</si>
  <si>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</si>
  <si>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</si>
  <si>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</si>
  <si>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</si>
  <si>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</si>
  <si>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</si>
  <si>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</si>
  <si>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</si>
  <si>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</si>
  <si>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</si>
  <si>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</si>
  <si>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</si>
  <si>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</si>
  <si>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</si>
  <si>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</si>
  <si>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</si>
  <si>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</si>
  <si>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</si>
  <si>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</si>
  <si>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</si>
  <si>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</si>
  <si>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</si>
  <si>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</si>
  <si>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</si>
  <si>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</si>
  <si>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</si>
  <si>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</si>
  <si>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</si>
  <si>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</si>
  <si>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</si>
  <si>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</si>
  <si>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</si>
  <si>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</si>
  <si>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</si>
  <si>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</si>
  <si>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</si>
  <si>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</si>
  <si>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</si>
  <si>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</si>
  <si>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</si>
  <si>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</si>
  <si>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</si>
  <si>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</si>
  <si>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</si>
  <si>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</si>
  <si>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</si>
  <si>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</si>
  <si>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</si>
  <si>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</si>
  <si>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</si>
  <si>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</si>
  <si>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</si>
  <si>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</si>
  <si>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</si>
  <si>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</si>
  <si>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</si>
  <si>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</si>
  <si>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</si>
  <si>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</si>
  <si>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</si>
  <si>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</si>
  <si>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</si>
  <si>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</si>
  <si>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</si>
  <si>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</si>
  <si>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</si>
  <si>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</si>
  <si>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</si>
  <si>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</si>
  <si>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</si>
  <si>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</si>
  <si>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</si>
  <si>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</si>
  <si>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</si>
  <si>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</si>
  <si>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</si>
  <si>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</si>
  <si>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</si>
  <si>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</si>
  <si>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</si>
  <si>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</si>
  <si>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</si>
  <si>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</si>
  <si>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</si>
  <si>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</si>
  <si>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</si>
  <si>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</si>
  <si>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</si>
  <si>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</si>
  <si>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</si>
  <si>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</si>
  <si>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</si>
  <si>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</si>
  <si>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</si>
  <si>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</si>
  <si>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</si>
  <si>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</si>
  <si>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</si>
  <si>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</si>
  <si>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</si>
  <si>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</si>
  <si>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</si>
  <si>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</si>
  <si>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</si>
  <si>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</si>
  <si>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</si>
  <si>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</si>
  <si>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</si>
  <si>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</si>
  <si>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</si>
  <si>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</si>
  <si>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</si>
  <si>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</si>
  <si>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</si>
  <si>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</si>
  <si>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</si>
  <si>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</si>
  <si>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</si>
  <si>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</si>
  <si>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</si>
  <si>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</si>
  <si>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</si>
  <si>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</si>
  <si>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</si>
  <si>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</si>
  <si>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</si>
  <si>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</si>
  <si>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</si>
  <si>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</si>
  <si>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</si>
  <si>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</si>
  <si>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</si>
  <si>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</si>
  <si>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</si>
  <si>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</si>
  <si>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</si>
  <si>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</si>
  <si>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</si>
  <si>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</si>
  <si>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</si>
  <si>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</si>
  <si>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</si>
  <si>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</si>
  <si>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</si>
  <si>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</si>
  <si>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</si>
  <si>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</si>
  <si>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</si>
  <si>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</si>
  <si>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</si>
  <si>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</si>
  <si>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</si>
  <si>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</si>
  <si>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</si>
  <si>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</si>
  <si>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</si>
  <si>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</si>
  <si>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</si>
  <si>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</si>
  <si>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</si>
  <si>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</si>
  <si>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</si>
  <si>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</si>
  <si>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</si>
  <si>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</si>
  <si>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</si>
  <si>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</si>
  <si>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</si>
  <si>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</si>
  <si>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</si>
  <si>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</si>
  <si>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</si>
  <si>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</si>
  <si>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</si>
  <si>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</si>
  <si>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</si>
  <si>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</si>
  <si>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</si>
  <si>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</si>
  <si>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</si>
  <si>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</si>
  <si>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</si>
  <si>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</si>
  <si>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</si>
  <si>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</si>
  <si>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</si>
  <si>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</si>
  <si>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</si>
  <si>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</si>
  <si>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</si>
  <si>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</si>
  <si>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</si>
  <si>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</si>
  <si>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</si>
  <si>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</si>
  <si>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</si>
  <si>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</si>
  <si>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</si>
  <si>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</si>
  <si>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</si>
  <si>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</si>
  <si>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</si>
  <si>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</si>
  <si>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</si>
  <si>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</si>
  <si>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</si>
  <si>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</si>
  <si>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</si>
  <si>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</si>
  <si>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</si>
  <si>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</si>
  <si>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</si>
  <si>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</si>
  <si>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</si>
  <si>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</si>
  <si>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</si>
  <si>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</si>
  <si>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</si>
  <si>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</si>
  <si>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</si>
  <si>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</si>
  <si>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</si>
  <si>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</si>
  <si>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</si>
  <si>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</si>
  <si>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</si>
  <si>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</si>
  <si>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</si>
  <si>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</si>
  <si>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</si>
  <si>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</si>
  <si>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</si>
  <si>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</si>
  <si>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</si>
  <si>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</si>
  <si>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</si>
  <si>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</si>
  <si>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</si>
  <si>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</si>
  <si>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</si>
  <si>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</si>
  <si>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</si>
  <si>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</si>
  <si>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</si>
  <si>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</si>
  <si>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</si>
  <si>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</si>
  <si>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</si>
  <si>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</si>
  <si>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</si>
  <si>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</si>
  <si>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</si>
  <si>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</si>
  <si>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</si>
  <si>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</si>
  <si>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</si>
  <si>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</si>
  <si>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</si>
  <si>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</si>
  <si>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</si>
  <si>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</si>
  <si>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</si>
  <si>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</si>
  <si>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</si>
  <si>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</si>
  <si>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</si>
  <si>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</si>
  <si>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</si>
  <si>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</si>
  <si>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</si>
  <si>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</si>
  <si>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</si>
  <si>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</si>
  <si>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</si>
  <si>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</si>
  <si>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</si>
  <si>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</si>
  <si>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</si>
  <si>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</si>
  <si>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</si>
  <si>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</si>
  <si>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</si>
  <si>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</si>
  <si>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</si>
  <si>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</si>
  <si>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</si>
  <si>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</si>
  <si>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</si>
  <si>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</si>
  <si>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</si>
  <si>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</si>
  <si>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</si>
  <si>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</si>
  <si>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</si>
  <si>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</si>
  <si>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</si>
  <si>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</si>
  <si>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</si>
  <si>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</si>
  <si>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</si>
  <si>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</si>
  <si>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</si>
  <si>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</si>
  <si>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</si>
  <si>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</si>
  <si>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</si>
  <si>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</si>
  <si>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</si>
  <si>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</si>
  <si>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</si>
  <si>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</si>
  <si>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</si>
  <si>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</si>
  <si>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</si>
  <si>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</si>
  <si>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</si>
  <si>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</si>
  <si>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</si>
  <si>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</si>
  <si>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</si>
  <si>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</si>
  <si>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</si>
  <si>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</si>
  <si>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</si>
  <si>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</si>
  <si>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</si>
  <si>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</si>
  <si>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</si>
  <si>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</si>
  <si>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</si>
  <si>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</si>
  <si>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</si>
  <si>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</si>
  <si>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</si>
  <si>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</si>
  <si>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</si>
  <si>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</si>
  <si>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</si>
  <si>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</si>
  <si>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</si>
  <si>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</si>
  <si>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</si>
  <si>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</si>
  <si>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</si>
  <si>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</si>
  <si>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</si>
  <si>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</si>
  <si>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</si>
  <si>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</si>
  <si>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</si>
  <si>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</si>
  <si>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</si>
  <si>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</si>
  <si>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</si>
  <si>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</si>
  <si>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</si>
  <si>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</si>
  <si>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</si>
  <si>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</si>
  <si>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</si>
  <si>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</si>
  <si>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</si>
  <si>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</si>
  <si>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</si>
  <si>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</si>
  <si>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</si>
  <si>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</si>
  <si>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</si>
  <si>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</si>
  <si>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</si>
  <si>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</si>
  <si>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</si>
  <si>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</si>
  <si>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</si>
  <si>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</si>
  <si>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</si>
  <si>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</si>
  <si>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</si>
  <si>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</si>
  <si>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</si>
  <si>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</si>
  <si>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</si>
  <si>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</si>
  <si>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</si>
  <si>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</si>
  <si>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</si>
  <si>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</si>
  <si>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</si>
  <si>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</si>
  <si>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</si>
  <si>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</si>
  <si>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</si>
  <si>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</si>
  <si>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</si>
  <si>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</si>
  <si>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</si>
  <si>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</si>
  <si>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</si>
  <si>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</si>
  <si>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</si>
  <si>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</si>
  <si>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</si>
  <si>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</si>
  <si>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</si>
  <si>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</si>
  <si>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</si>
  <si>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</si>
  <si>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</si>
  <si>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</si>
  <si>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</si>
  <si>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</si>
  <si>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</si>
  <si>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</si>
  <si>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</si>
  <si>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</si>
  <si>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</si>
  <si>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</si>
  <si>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</si>
  <si>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</si>
  <si>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</si>
  <si>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</si>
  <si>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</si>
  <si>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</si>
  <si>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</si>
  <si>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</si>
  <si>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</si>
  <si>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</si>
  <si>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</si>
  <si>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</si>
  <si>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</si>
  <si>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</si>
  <si>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</si>
  <si>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</si>
  <si>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</si>
  <si>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</si>
  <si>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</si>
  <si>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</si>
  <si>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</si>
  <si>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</si>
  <si>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</si>
  <si>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</si>
  <si>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</si>
  <si>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</si>
  <si>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</si>
  <si>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</si>
  <si>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</si>
  <si>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</si>
  <si>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</si>
  <si>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</si>
  <si>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</si>
  <si>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</si>
  <si>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</si>
  <si>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</si>
  <si>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</si>
  <si>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</si>
  <si>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</si>
  <si>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</si>
  <si>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</si>
  <si>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</si>
  <si>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</si>
  <si>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</si>
  <si>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</si>
  <si>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</si>
  <si>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</si>
  <si>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</si>
  <si>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</si>
  <si>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</si>
  <si>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</si>
  <si>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</si>
  <si>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</si>
  <si>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</si>
  <si>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</si>
  <si>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</si>
  <si>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</si>
  <si>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</si>
  <si>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</si>
  <si>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</si>
  <si>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</si>
  <si>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</si>
  <si>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</si>
  <si>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</si>
  <si>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</si>
  <si>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</si>
  <si>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</si>
  <si>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</si>
  <si>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</si>
  <si>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</si>
  <si>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</si>
  <si>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</si>
  <si>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</si>
  <si>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</si>
  <si>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</si>
  <si>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</si>
  <si>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</si>
  <si>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</si>
  <si>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</si>
  <si>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</si>
  <si>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</si>
  <si>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</si>
  <si>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</si>
  <si>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</si>
  <si>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</si>
  <si>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</si>
  <si>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</si>
  <si>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</si>
  <si>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</si>
  <si>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</si>
  <si>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</si>
  <si>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</si>
  <si>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</si>
  <si>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</si>
  <si>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</si>
  <si>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</si>
  <si>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</si>
  <si>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</si>
  <si>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</si>
  <si>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</si>
  <si>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</si>
  <si>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</si>
  <si>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</si>
  <si>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</si>
  <si>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</si>
  <si>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</si>
  <si>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</si>
  <si>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</si>
  <si>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</si>
  <si>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</si>
  <si>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</si>
  <si>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</si>
  <si>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</si>
  <si>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</si>
  <si>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</si>
  <si>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</si>
  <si>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</si>
  <si>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</si>
  <si>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</si>
  <si>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</si>
  <si>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</si>
  <si>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</si>
  <si>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</si>
  <si>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</si>
  <si>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</si>
  <si>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</si>
  <si>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</si>
  <si>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</si>
  <si>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</si>
  <si>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</si>
  <si>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</si>
  <si>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</si>
  <si>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</si>
  <si>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</si>
  <si>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</si>
  <si>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</si>
  <si>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</si>
  <si>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</si>
  <si>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</si>
  <si>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</si>
  <si>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</si>
  <si>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</si>
  <si>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</si>
  <si>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</si>
  <si>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</si>
  <si>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</si>
  <si>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</si>
  <si>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</si>
  <si>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</si>
  <si>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</si>
  <si>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</si>
  <si>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</si>
  <si>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</si>
  <si>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</si>
  <si>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</si>
  <si>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</si>
  <si>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</si>
  <si>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</si>
  <si>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</si>
  <si>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</si>
  <si>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</si>
  <si>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</si>
  <si>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</si>
  <si>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</si>
  <si>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</si>
  <si>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</si>
  <si>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</si>
  <si>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</si>
  <si>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</si>
  <si>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</si>
  <si>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</si>
  <si>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</si>
  <si>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</si>
  <si>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</si>
  <si>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</si>
  <si>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</si>
  <si>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</si>
  <si>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</si>
  <si>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</si>
  <si>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</si>
  <si>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</si>
  <si>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</si>
  <si>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</si>
  <si>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</si>
  <si>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</si>
  <si>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</si>
  <si>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</si>
  <si>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</si>
  <si>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</si>
  <si>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</si>
  <si>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</si>
  <si>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</si>
  <si>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</si>
  <si>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</si>
  <si>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</si>
  <si>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</si>
  <si>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</si>
  <si>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</si>
  <si>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</si>
  <si>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</si>
  <si>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</si>
  <si>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</si>
  <si>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</si>
  <si>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</si>
  <si>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</si>
  <si>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</si>
  <si>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</si>
  <si>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</si>
  <si>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</si>
  <si>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</si>
  <si>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</si>
  <si>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</si>
  <si>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</si>
  <si>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</si>
  <si>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</si>
  <si>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</si>
  <si>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</si>
  <si>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</si>
  <si>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</si>
  <si>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</si>
  <si>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</si>
  <si>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</si>
  <si>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</si>
  <si>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</si>
  <si>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</si>
  <si>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</si>
  <si>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</si>
  <si>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</si>
  <si>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</si>
  <si>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</si>
  <si>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</si>
  <si>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</si>
  <si>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</si>
  <si>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</si>
  <si>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</si>
  <si>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</si>
  <si>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</si>
  <si>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</si>
  <si>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</si>
  <si>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</si>
  <si>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</si>
  <si>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</si>
  <si>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</si>
  <si>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</si>
  <si>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</si>
  <si>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</si>
  <si>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</si>
  <si>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</si>
  <si>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</si>
  <si>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</si>
  <si>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</si>
  <si>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</si>
  <si>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</si>
  <si>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</si>
  <si>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</si>
  <si>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</si>
  <si>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</si>
  <si>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</si>
  <si>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</si>
  <si>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</si>
  <si>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</si>
  <si>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</si>
  <si>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</si>
  <si>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</si>
  <si>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</si>
  <si>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</si>
  <si>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</si>
  <si>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</si>
  <si>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</si>
  <si>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</si>
  <si>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</si>
  <si>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</si>
  <si>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</si>
  <si>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</si>
  <si>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</si>
  <si>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</si>
  <si>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</si>
  <si>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</si>
  <si>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</si>
  <si>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</si>
  <si>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</si>
  <si>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</si>
  <si>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</si>
  <si>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</si>
  <si>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</si>
  <si>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</si>
  <si>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</si>
  <si>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</si>
  <si>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</si>
  <si>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</si>
  <si>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</si>
  <si>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</si>
  <si>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</si>
  <si>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</si>
  <si>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</si>
  <si>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</si>
  <si>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</si>
  <si>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</si>
  <si>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</si>
  <si>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</si>
  <si>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</si>
  <si>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</si>
  <si>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</si>
  <si>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</si>
  <si>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</si>
  <si>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</si>
  <si>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</si>
  <si>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</si>
  <si>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</si>
  <si>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</si>
  <si>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</si>
  <si>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</si>
  <si>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</si>
  <si>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</si>
  <si>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</si>
  <si>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</si>
  <si>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</si>
  <si>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</si>
  <si>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</si>
  <si>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</si>
  <si>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</si>
  <si>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</si>
  <si>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</si>
  <si>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</si>
  <si>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</si>
  <si>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</si>
  <si>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</si>
  <si>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</si>
  <si>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</si>
  <si>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</si>
  <si>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</si>
  <si>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</si>
  <si>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</si>
  <si>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</si>
  <si>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</si>
  <si>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</si>
  <si>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</si>
  <si>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</si>
  <si>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</si>
  <si>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</si>
  <si>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</si>
  <si>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</si>
  <si>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</si>
  <si>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</si>
  <si>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</si>
  <si>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</si>
  <si>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</si>
  <si>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</si>
  <si>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</si>
  <si>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</si>
  <si>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</si>
  <si>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</si>
  <si>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</si>
  <si>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</si>
  <si>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</si>
  <si>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</si>
  <si>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</si>
  <si>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</si>
  <si>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</si>
  <si>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</si>
  <si>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</si>
  <si>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</si>
  <si>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</si>
  <si>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</si>
  <si>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</si>
  <si>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</si>
  <si>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</si>
  <si>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</si>
  <si>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</si>
  <si>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</si>
  <si>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</si>
  <si>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</si>
  <si>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</si>
  <si>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</si>
  <si>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</si>
  <si>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</si>
  <si>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</si>
  <si>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</si>
  <si>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</si>
  <si>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</si>
  <si>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</si>
  <si>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</si>
  <si>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</si>
  <si>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</si>
  <si>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</si>
  <si>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</si>
  <si>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</si>
  <si>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</si>
  <si>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</si>
  <si>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</si>
  <si>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</si>
  <si>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</si>
  <si>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</si>
  <si>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</si>
  <si>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</si>
  <si>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</si>
  <si>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</si>
  <si>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</si>
  <si>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</si>
  <si>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</si>
  <si>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</si>
  <si>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</si>
  <si>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</si>
  <si>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</si>
  <si>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</si>
  <si>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</si>
  <si>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</si>
  <si>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</si>
  <si>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</si>
  <si>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</si>
  <si>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</si>
  <si>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</si>
  <si>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</si>
  <si>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</si>
  <si>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</si>
  <si>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</si>
  <si>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</si>
  <si>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</si>
  <si>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</si>
  <si>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</si>
  <si>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</si>
  <si>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</si>
  <si>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</si>
  <si>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</si>
  <si>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</si>
  <si>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</si>
  <si>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</si>
  <si>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</si>
  <si>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</si>
  <si>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</si>
  <si>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</si>
  <si>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</si>
  <si>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</si>
  <si>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</si>
  <si>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</si>
  <si>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</si>
  <si>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</si>
  <si>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</si>
  <si>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</si>
  <si>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</si>
  <si>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</si>
  <si>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</si>
  <si>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</si>
  <si>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</si>
  <si>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</si>
  <si>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</si>
  <si>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</si>
  <si>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</si>
  <si>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</si>
  <si>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</si>
  <si>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</si>
  <si>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</si>
  <si>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</si>
  <si>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</si>
  <si>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</si>
  <si>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</si>
  <si>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</si>
  <si>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</si>
  <si>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</si>
  <si>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</si>
  <si>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</si>
  <si>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</si>
  <si>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</si>
  <si>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</si>
  <si>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</si>
  <si>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</si>
  <si>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</si>
  <si>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</si>
  <si>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</si>
  <si>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</si>
  <si>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</si>
  <si>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</si>
  <si>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</si>
  <si>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</si>
  <si>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</si>
  <si>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</si>
  <si>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</si>
  <si>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</si>
  <si>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</si>
  <si>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</si>
  <si>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</si>
  <si>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</si>
  <si>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</si>
  <si>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</si>
  <si>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</si>
  <si>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</si>
  <si>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</si>
  <si>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</si>
  <si>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</si>
  <si>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</si>
  <si>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</si>
  <si>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</si>
  <si>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</si>
  <si>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</si>
  <si>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</si>
  <si>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</si>
  <si>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</si>
  <si>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</si>
  <si>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</si>
  <si>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</si>
  <si>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</si>
  <si>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</si>
  <si>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</si>
  <si>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</si>
  <si>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</si>
  <si>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</si>
  <si>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</si>
  <si>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</si>
  <si>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</si>
  <si>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</si>
  <si>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</si>
  <si>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</si>
  <si>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</si>
  <si>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</si>
  <si>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</si>
  <si>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</si>
  <si>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</si>
  <si>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</si>
  <si>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</si>
  <si>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</si>
  <si>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</si>
  <si>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</si>
  <si>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</si>
  <si>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</si>
  <si>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</si>
  <si>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</si>
  <si>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</si>
  <si>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</si>
  <si>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</si>
  <si>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</si>
  <si>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</si>
  <si>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</si>
  <si>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</si>
  <si>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</si>
  <si>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</si>
  <si>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</si>
  <si>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</si>
  <si>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</si>
  <si>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</si>
  <si>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</si>
  <si>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</si>
  <si>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</si>
  <si>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</si>
  <si>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</si>
  <si>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</si>
  <si>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</si>
  <si>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</si>
  <si>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</si>
  <si>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</si>
  <si>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</si>
  <si>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</si>
  <si>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</si>
  <si>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</si>
  <si>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</si>
  <si>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</si>
  <si>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</si>
  <si>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</si>
  <si>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</si>
  <si>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</si>
  <si>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</si>
  <si>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</si>
  <si>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</si>
  <si>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</si>
  <si>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</si>
  <si>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</si>
  <si>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</si>
  <si>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</si>
  <si>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</si>
  <si>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</si>
  <si>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</si>
  <si>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</si>
  <si>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</si>
  <si>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</si>
  <si>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</si>
  <si>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</si>
  <si>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</si>
  <si>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</si>
  <si>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</si>
  <si>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</si>
  <si>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</si>
  <si>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</si>
  <si>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</si>
  <si>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</si>
  <si>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</si>
  <si>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</si>
  <si>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</si>
  <si>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</si>
  <si>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</si>
  <si>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</si>
  <si>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</si>
  <si>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</si>
  <si>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</si>
  <si>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</si>
  <si>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</si>
  <si>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</si>
  <si>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</si>
  <si>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</si>
  <si>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</si>
  <si>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</si>
  <si>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</si>
  <si>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</si>
  <si>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</si>
  <si>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</si>
  <si>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</si>
  <si>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</si>
  <si>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</si>
  <si>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</si>
  <si>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</si>
  <si>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</si>
  <si>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</si>
  <si>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</si>
  <si>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</si>
  <si>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</si>
  <si>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</si>
  <si>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</si>
  <si>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</si>
  <si>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</si>
  <si>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</si>
  <si>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</si>
  <si>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</si>
  <si>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</si>
  <si>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</si>
  <si>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</si>
  <si>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</si>
  <si>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</si>
  <si>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</si>
  <si>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</si>
  <si>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</si>
  <si>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</si>
  <si>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</si>
  <si>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</si>
  <si>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</si>
  <si>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</si>
  <si>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</si>
  <si>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</si>
  <si>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</si>
  <si>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</si>
  <si>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</si>
  <si>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</si>
  <si>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</si>
  <si>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</si>
  <si>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</si>
  <si>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</si>
  <si>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</si>
  <si>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</si>
  <si>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</si>
  <si>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</si>
  <si>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</si>
  <si>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</si>
  <si>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</si>
  <si>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</si>
  <si>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</si>
  <si>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</si>
  <si>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</si>
  <si>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</si>
  <si>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</si>
  <si>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</si>
  <si>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</si>
  <si>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</si>
  <si>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</si>
  <si>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</si>
  <si>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</si>
  <si>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</si>
  <si>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</si>
  <si>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</si>
  <si>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</si>
  <si>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</si>
  <si>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</si>
  <si>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</si>
  <si>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</si>
  <si>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</si>
  <si>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</si>
  <si>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</si>
  <si>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</si>
  <si>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</si>
  <si>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</si>
  <si>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</si>
  <si>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</si>
  <si>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</si>
  <si>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</si>
  <si>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</si>
  <si>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</si>
  <si>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</si>
  <si>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</si>
  <si>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</si>
  <si>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</si>
  <si>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</si>
  <si>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</si>
  <si>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</si>
  <si>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</si>
  <si>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</si>
  <si>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</si>
  <si>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</si>
  <si>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</si>
  <si>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</si>
  <si>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</si>
  <si>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</si>
  <si>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</si>
  <si>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</si>
  <si>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</si>
  <si>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</si>
  <si>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</si>
  <si>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</si>
  <si>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</si>
  <si>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</si>
  <si>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</si>
  <si>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</si>
  <si>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</si>
  <si>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</si>
  <si>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</si>
  <si>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</si>
  <si>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</si>
  <si>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</si>
  <si>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</si>
  <si>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</si>
  <si>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</si>
  <si>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</si>
  <si>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</si>
  <si>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</si>
  <si>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</si>
  <si>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</si>
  <si>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</si>
  <si>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</si>
  <si>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</si>
  <si>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</si>
  <si>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</si>
  <si>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</si>
  <si>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</si>
  <si>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</si>
  <si>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</si>
  <si>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</si>
  <si>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</si>
  <si>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</si>
  <si>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</si>
  <si>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</si>
  <si>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</si>
  <si>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</si>
  <si>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</si>
  <si>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</si>
  <si>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</si>
  <si>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</si>
  <si>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</si>
  <si>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</si>
  <si>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</si>
  <si>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</si>
  <si>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</si>
  <si>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</si>
  <si>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</si>
  <si>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</si>
  <si>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</si>
  <si>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</si>
  <si>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</si>
  <si>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</si>
  <si>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</si>
  <si>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</si>
  <si>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</si>
  <si>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</si>
  <si>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</si>
  <si>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</si>
  <si>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</si>
  <si>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</si>
  <si>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</si>
  <si>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</si>
  <si>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</si>
  <si>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</si>
  <si>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</si>
  <si>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</si>
  <si>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</si>
  <si>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</si>
  <si>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</si>
  <si>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</si>
  <si>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</si>
  <si>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</si>
  <si>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</si>
  <si>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</si>
  <si>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</si>
  <si>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</si>
  <si>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</si>
  <si>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</si>
  <si>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</si>
  <si>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</si>
  <si>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</si>
  <si>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</si>
  <si>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</si>
  <si>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</si>
  <si>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</si>
  <si>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</si>
  <si>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</si>
  <si>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</si>
  <si>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</si>
  <si>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</si>
  <si>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</si>
  <si>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</si>
  <si>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</si>
  <si>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</si>
  <si>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</si>
  <si>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</si>
  <si>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</si>
  <si>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</si>
  <si>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</si>
  <si>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</si>
  <si>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</si>
  <si>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</si>
  <si>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</si>
  <si>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</si>
  <si>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</si>
  <si>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</si>
  <si>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</si>
  <si>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</si>
  <si>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</si>
  <si>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</si>
  <si>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</si>
  <si>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</si>
  <si>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</si>
  <si>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</si>
  <si>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</si>
  <si>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</si>
  <si>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</si>
  <si>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</si>
  <si>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</si>
  <si>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</si>
  <si>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</si>
  <si>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</si>
  <si>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</si>
  <si>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</si>
  <si>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</si>
  <si>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</si>
  <si>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</si>
  <si>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</si>
  <si>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</si>
  <si>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</si>
  <si>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</si>
  <si>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</si>
  <si>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</si>
  <si>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</si>
  <si>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</si>
  <si>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</si>
  <si>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</si>
  <si>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</si>
  <si>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</si>
  <si>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</si>
  <si>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</si>
  <si>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</si>
  <si>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</si>
  <si>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</si>
  <si>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</si>
  <si>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</si>
  <si>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</si>
  <si>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</si>
  <si>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</si>
  <si>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</si>
  <si>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</si>
  <si>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</si>
  <si>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</si>
  <si>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</si>
  <si>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</si>
  <si>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</si>
  <si>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</si>
  <si>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</si>
  <si>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</si>
  <si>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</si>
  <si>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</si>
  <si>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</si>
  <si>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</si>
  <si>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</si>
  <si>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</si>
  <si>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</si>
  <si>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</si>
  <si>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</si>
  <si>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</si>
  <si>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</si>
  <si>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</si>
  <si>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</si>
  <si>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</si>
  <si>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</si>
  <si>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</si>
  <si>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</si>
  <si>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</si>
  <si>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</si>
  <si>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</si>
  <si>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</si>
  <si>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</si>
  <si>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</si>
  <si>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</si>
  <si>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</si>
  <si>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</si>
  <si>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</si>
  <si>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</si>
  <si>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</si>
  <si>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</si>
  <si>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</si>
  <si>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</si>
  <si>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</si>
  <si>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</si>
  <si>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</si>
  <si>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</si>
  <si>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</si>
  <si>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</si>
  <si>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</si>
  <si>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</si>
  <si>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</si>
  <si>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</si>
  <si>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</si>
  <si>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</si>
  <si>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</si>
  <si>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</si>
  <si>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</si>
  <si>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</si>
  <si>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</si>
  <si>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</si>
  <si>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</si>
  <si>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</si>
  <si>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</si>
  <si>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</si>
  <si>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</si>
  <si>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</si>
  <si>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</si>
  <si>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</si>
  <si>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</si>
  <si>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</si>
  <si>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</si>
  <si>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</si>
  <si>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</si>
  <si>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</si>
  <si>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</si>
  <si>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</si>
  <si>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</si>
  <si>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</si>
  <si>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</si>
  <si>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</si>
  <si>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</si>
  <si>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</si>
  <si>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</si>
  <si>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</si>
  <si>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</si>
  <si>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</si>
  <si>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</si>
  <si>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</si>
  <si>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</si>
  <si>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</si>
  <si>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</si>
  <si>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</si>
  <si>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</si>
  <si>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</si>
  <si>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</si>
  <si>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</si>
  <si>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</si>
  <si>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</si>
  <si>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</si>
  <si>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</si>
  <si>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</si>
  <si>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</si>
  <si>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</si>
  <si>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</si>
  <si>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</si>
  <si>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</si>
  <si>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</si>
  <si>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</si>
  <si>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</si>
  <si>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</si>
  <si>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</si>
  <si>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</si>
  <si>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</si>
  <si>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</si>
  <si>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</si>
  <si>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</si>
  <si>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</si>
  <si>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</si>
  <si>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</si>
  <si>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</si>
  <si>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</si>
  <si>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</si>
  <si>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</si>
  <si>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</si>
  <si>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</si>
  <si>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</si>
  <si>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</si>
  <si>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</si>
  <si>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</si>
  <si>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</si>
  <si>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</si>
  <si>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</si>
  <si>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</si>
  <si>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</si>
  <si>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</si>
  <si>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</si>
  <si>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</si>
  <si>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</si>
  <si>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</si>
  <si>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</si>
  <si>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</si>
  <si>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</si>
  <si>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</si>
  <si>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</si>
  <si>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</si>
  <si>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</si>
  <si>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</si>
  <si>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</si>
  <si>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</si>
  <si>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</si>
  <si>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</si>
  <si>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</si>
  <si>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</si>
  <si>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</si>
  <si>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</si>
  <si>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</si>
  <si>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</si>
  <si>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</si>
  <si>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</si>
  <si>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</si>
  <si>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</si>
  <si>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</si>
  <si>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</si>
  <si>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</si>
  <si>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</si>
  <si>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</si>
  <si>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</si>
  <si>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</si>
  <si>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</si>
  <si>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</si>
  <si>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</si>
  <si>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</si>
  <si>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</si>
  <si>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</si>
  <si>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</si>
  <si>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</si>
  <si>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</si>
  <si>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</si>
  <si>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</si>
  <si>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</si>
  <si>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</si>
  <si>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</si>
  <si>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</si>
  <si>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</si>
  <si>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</si>
  <si>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</si>
  <si>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</si>
  <si>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</si>
  <si>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</si>
  <si>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</si>
  <si>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</si>
  <si>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</si>
  <si>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</si>
  <si>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</si>
  <si>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</si>
  <si>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</si>
  <si>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</si>
  <si>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</si>
  <si>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</si>
  <si>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</si>
  <si>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</si>
  <si>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</si>
  <si>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</si>
  <si>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</si>
  <si>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</si>
  <si>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</si>
  <si>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</si>
  <si>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</si>
  <si>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</si>
  <si>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</si>
  <si>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</si>
  <si>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</si>
  <si>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</si>
  <si>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</si>
  <si>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</si>
  <si>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</si>
  <si>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</si>
  <si>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</si>
  <si>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</si>
  <si>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</si>
  <si>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</si>
  <si>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</si>
  <si>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</si>
  <si>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</si>
  <si>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</si>
  <si>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</si>
  <si>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</si>
  <si>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</si>
  <si>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</si>
  <si>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</si>
  <si>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</si>
  <si>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</si>
  <si>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</si>
  <si>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</si>
  <si>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</si>
  <si>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</si>
  <si>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</si>
  <si>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</si>
  <si>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</si>
  <si>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</si>
  <si>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</si>
  <si>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</si>
  <si>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</si>
  <si>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</si>
  <si>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</si>
  <si>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</si>
  <si>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</si>
  <si>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</si>
  <si>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</si>
  <si>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</si>
  <si>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</si>
  <si>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</si>
  <si>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</si>
  <si>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</si>
  <si>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</si>
  <si>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</si>
  <si>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</si>
  <si>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</si>
  <si>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</si>
  <si>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</si>
  <si>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</si>
  <si>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</si>
  <si>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</si>
  <si>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</si>
  <si>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</si>
  <si>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</si>
  <si>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</si>
  <si>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</si>
  <si>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</si>
  <si>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</si>
  <si>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</si>
  <si>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</si>
  <si>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</si>
  <si>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</si>
  <si>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</si>
  <si>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</si>
  <si>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</si>
  <si>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</si>
  <si>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</si>
  <si>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</si>
  <si>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</si>
  <si>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</si>
  <si>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</si>
  <si>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</si>
  <si>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</si>
  <si>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</si>
  <si>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</si>
  <si>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</si>
  <si>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</si>
  <si>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</si>
  <si>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</si>
  <si>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</si>
  <si>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</si>
  <si>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</si>
  <si>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</si>
  <si>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</si>
  <si>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</si>
  <si>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</si>
  <si>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</si>
  <si>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</si>
  <si>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</si>
  <si>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</si>
  <si>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</si>
  <si>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</si>
  <si>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</si>
  <si>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</si>
  <si>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</si>
  <si>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</si>
  <si>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</si>
  <si>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</si>
  <si>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</si>
  <si>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</si>
  <si>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</si>
  <si>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</si>
  <si>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</si>
  <si>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</si>
  <si>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</si>
  <si>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</si>
  <si>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</si>
  <si>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</si>
  <si>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</si>
  <si>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</si>
  <si>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</si>
  <si>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</si>
  <si>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</si>
  <si>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</si>
  <si>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</si>
  <si>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</si>
  <si>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</si>
  <si>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</si>
  <si>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</si>
  <si>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</si>
  <si>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</si>
  <si>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</si>
  <si>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</si>
  <si>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</si>
  <si>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</si>
  <si>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</si>
  <si>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</si>
  <si>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</si>
  <si>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</si>
  <si>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</si>
  <si>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</si>
  <si>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</si>
  <si>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</si>
  <si>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</si>
  <si>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</si>
  <si>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</si>
  <si>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</si>
  <si>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</si>
  <si>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</si>
  <si>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</si>
  <si>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</si>
  <si>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</si>
  <si>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</si>
  <si>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</si>
  <si>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</si>
  <si>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</si>
  <si>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</si>
  <si>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</si>
  <si>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</si>
  <si>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</si>
  <si>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</si>
  <si>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</si>
  <si>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</si>
  <si>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</si>
  <si>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</si>
  <si>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</si>
  <si>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</si>
  <si>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</si>
  <si>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</si>
  <si>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</si>
  <si>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</si>
  <si>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</si>
  <si>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</si>
  <si>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</si>
  <si>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</si>
  <si>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</si>
  <si>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</si>
  <si>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</si>
  <si>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</si>
  <si>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</si>
  <si>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</si>
  <si>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</si>
  <si>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</si>
  <si>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</si>
  <si>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</si>
  <si>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</si>
  <si>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</si>
  <si>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</si>
  <si>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</si>
  <si>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</si>
  <si>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</si>
  <si>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</si>
  <si>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</si>
  <si>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</si>
  <si>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</si>
  <si>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</si>
  <si>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</si>
  <si>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</si>
  <si>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</si>
  <si>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</si>
  <si>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</si>
  <si>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</si>
  <si>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</si>
  <si>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</si>
  <si>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</si>
  <si>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</si>
  <si>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</si>
  <si>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</si>
  <si>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</si>
  <si>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</si>
  <si>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</si>
  <si>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</si>
  <si>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</si>
  <si>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</si>
  <si>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</si>
  <si>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</si>
  <si>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</si>
  <si>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</si>
  <si>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</si>
  <si>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</si>
  <si>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</si>
  <si>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</si>
  <si>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</si>
  <si>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</si>
  <si>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</si>
  <si>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</si>
  <si>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</si>
  <si>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</si>
  <si>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</si>
  <si>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</si>
  <si>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</si>
  <si>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</si>
  <si>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</si>
  <si>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</si>
  <si>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</si>
  <si>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</si>
  <si>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</si>
  <si>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</si>
  <si>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</si>
  <si>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</si>
  <si>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</si>
  <si>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</si>
  <si>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</si>
  <si>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</si>
  <si>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</si>
  <si>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</si>
  <si>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</si>
  <si>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</si>
  <si>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</si>
  <si>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</si>
  <si>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</si>
  <si>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</si>
  <si>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</si>
  <si>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</si>
  <si>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</si>
  <si>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</si>
  <si>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</si>
  <si>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</si>
  <si>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</si>
  <si>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</si>
  <si>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</si>
  <si>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</si>
  <si>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</si>
  <si>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</si>
  <si>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</si>
  <si>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</si>
  <si>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</si>
  <si>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</si>
  <si>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</si>
  <si>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</si>
  <si>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</si>
  <si>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</si>
  <si>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</si>
  <si>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</si>
  <si>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</si>
  <si>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</si>
  <si>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</si>
  <si>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</si>
  <si>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</si>
  <si>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</si>
  <si>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</si>
  <si>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</si>
  <si>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</si>
  <si>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</si>
  <si>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</si>
  <si>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</si>
  <si>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</si>
  <si>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</si>
  <si>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</si>
  <si>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</si>
  <si>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</si>
  <si>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</si>
  <si>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</si>
  <si>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</si>
  <si>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</si>
  <si>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</si>
  <si>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</si>
  <si>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</si>
  <si>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</si>
  <si>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</si>
  <si>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</si>
  <si>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</si>
  <si>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</si>
  <si>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</si>
  <si>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</si>
  <si>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</si>
  <si>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</si>
  <si>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</si>
  <si>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</si>
  <si>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</si>
  <si>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</si>
  <si>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</si>
  <si>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</si>
  <si>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</si>
  <si>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</si>
  <si>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</si>
  <si>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</si>
  <si>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</si>
  <si>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</si>
  <si>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</si>
  <si>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</si>
  <si>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</si>
  <si>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</si>
  <si>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</si>
  <si>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</si>
  <si>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</si>
  <si>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</si>
  <si>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</si>
  <si>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</si>
  <si>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</si>
  <si>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</si>
  <si>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</si>
  <si>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</si>
  <si>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</si>
  <si>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</si>
  <si>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</si>
  <si>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</si>
  <si>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</si>
  <si>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</si>
  <si>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</si>
  <si>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</si>
  <si>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</si>
  <si>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</si>
  <si>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</si>
  <si>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</si>
  <si>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</si>
  <si>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</si>
  <si>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</si>
  <si>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</si>
  <si>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</si>
  <si>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</si>
  <si>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</si>
  <si>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</si>
  <si>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</si>
  <si>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</si>
  <si>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</si>
  <si>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</si>
  <si>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</si>
  <si>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</si>
  <si>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</si>
  <si>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</si>
  <si>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</si>
  <si>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</si>
  <si>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</si>
  <si>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</si>
  <si>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</si>
  <si>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</si>
  <si>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</si>
  <si>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</si>
  <si>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</si>
  <si>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</si>
  <si>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</si>
  <si>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</si>
  <si>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</si>
  <si>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</si>
  <si>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</si>
  <si>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</si>
  <si>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</si>
  <si>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</si>
  <si>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</si>
  <si>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</si>
  <si>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</si>
  <si>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</si>
  <si>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</si>
  <si>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</si>
  <si>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</si>
  <si>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</si>
  <si>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</si>
  <si>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</si>
  <si>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</si>
  <si>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</si>
  <si>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</si>
  <si>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</si>
  <si>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</si>
  <si>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</si>
  <si>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</si>
  <si>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</si>
  <si>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</si>
  <si>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</si>
  <si>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</si>
  <si>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</si>
  <si>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</si>
  <si>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</si>
  <si>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</si>
  <si>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</si>
  <si>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</si>
  <si>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</si>
  <si>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</si>
  <si>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</si>
  <si>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</si>
  <si>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</si>
  <si>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</si>
  <si>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</si>
  <si>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</si>
  <si>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</si>
  <si>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</si>
  <si>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</si>
  <si>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</si>
  <si>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</si>
  <si>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</si>
  <si>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</si>
  <si>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</si>
  <si>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</si>
  <si>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</si>
  <si>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</si>
  <si>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</si>
  <si>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</si>
  <si>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</si>
  <si>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</si>
  <si>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</si>
  <si>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</si>
  <si>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</si>
  <si>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</si>
  <si>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</si>
  <si>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</si>
  <si>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</si>
  <si>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</si>
  <si>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</si>
  <si>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</si>
  <si>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</si>
  <si>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</si>
  <si>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</si>
  <si>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</si>
  <si>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</si>
  <si>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</si>
  <si>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</si>
  <si>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</si>
  <si>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</si>
  <si>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</si>
  <si>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</si>
  <si>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</si>
  <si>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</si>
  <si>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</si>
  <si>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</si>
  <si>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</si>
  <si>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</si>
  <si>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</si>
  <si>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</si>
  <si>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</si>
  <si>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</si>
  <si>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</si>
  <si>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</si>
  <si>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</si>
  <si>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</si>
  <si>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</si>
  <si>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</si>
  <si>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</si>
  <si>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</si>
  <si>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</si>
  <si>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</si>
  <si>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</si>
  <si>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</si>
  <si>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</si>
  <si>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</si>
  <si>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</si>
  <si>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</si>
  <si>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</si>
  <si>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</si>
  <si>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</si>
  <si>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</si>
  <si>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</si>
  <si>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</si>
  <si>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</si>
  <si>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</si>
  <si>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</si>
  <si>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</si>
  <si>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</si>
  <si>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</si>
  <si>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</si>
  <si>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</si>
  <si>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</si>
  <si>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</si>
  <si>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</si>
  <si>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</si>
  <si>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</si>
  <si>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</si>
  <si>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</si>
  <si>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</si>
  <si>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</si>
  <si>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</si>
  <si>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</si>
  <si>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</si>
  <si>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</si>
  <si>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</si>
  <si>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</si>
  <si>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</si>
  <si>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</si>
  <si>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</si>
  <si>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</si>
  <si>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</si>
  <si>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</si>
  <si>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</si>
  <si>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</si>
  <si>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</si>
  <si>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</si>
  <si>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</si>
  <si>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</si>
  <si>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</si>
  <si>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</si>
  <si>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</si>
  <si>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</si>
  <si>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</si>
  <si>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</si>
  <si>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</si>
  <si>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</si>
  <si>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</si>
  <si>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</si>
  <si>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</si>
  <si>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</si>
  <si>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</si>
  <si>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</si>
  <si>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</si>
  <si>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</si>
  <si>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</si>
  <si>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</si>
  <si>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</si>
  <si>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</si>
  <si>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</si>
  <si>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</si>
  <si>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</si>
  <si>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</si>
  <si>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</si>
  <si>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</si>
  <si>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</si>
  <si>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</si>
  <si>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</si>
  <si>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</si>
  <si>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</si>
  <si>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</si>
  <si>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</si>
  <si>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</si>
  <si>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</si>
  <si>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</si>
  <si>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</si>
  <si>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</si>
  <si>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</si>
  <si>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</si>
  <si>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</si>
  <si>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</si>
  <si>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</si>
  <si>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</si>
  <si>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</si>
  <si>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</si>
  <si>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</si>
  <si>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</si>
  <si>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</si>
  <si>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</si>
  <si>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</si>
  <si>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</si>
  <si>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</si>
  <si>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</si>
  <si>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</si>
  <si>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</si>
  <si>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</si>
  <si>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</si>
  <si>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</si>
  <si>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</si>
  <si>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</si>
  <si>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</si>
  <si>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</si>
  <si>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</si>
  <si>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</si>
  <si>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</si>
  <si>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</si>
  <si>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</si>
  <si>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</si>
  <si>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</si>
  <si>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</si>
  <si>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</si>
  <si>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</si>
  <si>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</si>
  <si>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</si>
  <si>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</si>
  <si>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</si>
  <si>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</si>
  <si>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</si>
  <si>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</si>
  <si>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</si>
  <si>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</si>
  <si>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</si>
  <si>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</si>
  <si>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</si>
  <si>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</si>
  <si>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</si>
  <si>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</si>
  <si>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</si>
  <si>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</si>
  <si>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</si>
  <si>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</si>
  <si>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</si>
  <si>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</si>
  <si>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</si>
  <si>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</si>
  <si>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</si>
  <si>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</si>
  <si>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</si>
  <si>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</si>
  <si>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</si>
  <si>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</si>
  <si>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</si>
  <si>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</si>
  <si>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</si>
  <si>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</si>
  <si>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</si>
  <si>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</si>
  <si>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</si>
  <si>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</si>
  <si>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</si>
  <si>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</si>
  <si>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</si>
  <si>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</si>
  <si>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</si>
  <si>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</si>
  <si>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</si>
  <si>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</si>
  <si>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</si>
  <si>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</si>
  <si>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</si>
  <si>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</si>
  <si>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</si>
  <si>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</si>
  <si>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</si>
  <si>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</si>
  <si>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</si>
  <si>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</si>
  <si>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</si>
  <si>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</si>
  <si>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</si>
  <si>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</si>
  <si>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</si>
  <si>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</si>
  <si>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</si>
  <si>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</si>
  <si>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</si>
  <si>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</si>
  <si>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</si>
  <si>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</si>
  <si>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</si>
  <si>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</si>
  <si>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</si>
  <si>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</si>
  <si>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</si>
  <si>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</si>
  <si>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</si>
  <si>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</si>
  <si>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</si>
  <si>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</si>
  <si>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</si>
  <si>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</si>
  <si>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</si>
  <si>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</si>
  <si>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</si>
  <si>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</si>
  <si>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</si>
  <si>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</si>
  <si>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</si>
  <si>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</si>
  <si>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</si>
  <si>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</si>
  <si>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</si>
  <si>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</si>
  <si>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</si>
  <si>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</si>
  <si>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</si>
  <si>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</si>
  <si>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</si>
  <si>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</si>
  <si>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</si>
  <si>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</si>
  <si>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</si>
  <si>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</si>
  <si>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</si>
  <si>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</si>
  <si>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</si>
  <si>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</si>
  <si>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</si>
  <si>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</si>
  <si>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</si>
  <si>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</si>
  <si>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</si>
  <si>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</si>
  <si>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</si>
  <si>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</si>
  <si>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</si>
  <si>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</si>
  <si>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</si>
  <si>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</si>
  <si>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</si>
  <si>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</si>
  <si>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</si>
  <si>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</si>
  <si>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</si>
  <si>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</si>
  <si>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</si>
  <si>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</si>
  <si>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</si>
  <si>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</si>
  <si>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</si>
  <si>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</si>
  <si>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</si>
  <si>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</si>
  <si>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</si>
  <si>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</si>
  <si>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</si>
  <si>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</si>
  <si>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</si>
  <si>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</si>
  <si>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</si>
  <si>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</si>
  <si>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</si>
  <si>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</si>
  <si>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</si>
  <si>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</si>
  <si>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</si>
  <si>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</si>
  <si>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</si>
  <si>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</si>
  <si>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</si>
  <si>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</si>
  <si>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</si>
  <si>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</si>
  <si>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</si>
  <si>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</si>
  <si>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</si>
  <si>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</si>
  <si>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</si>
  <si>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</si>
  <si>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</si>
  <si>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</si>
  <si>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</si>
  <si>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</si>
  <si>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</si>
  <si>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</si>
  <si>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</si>
  <si>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</si>
  <si>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</si>
  <si>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</si>
  <si>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</si>
  <si>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</si>
  <si>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</si>
  <si>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</si>
  <si>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</si>
  <si>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</si>
  <si>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</si>
  <si>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</si>
  <si>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</si>
  <si>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</si>
  <si>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</si>
  <si>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</si>
  <si>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</si>
  <si>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</si>
  <si>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</si>
  <si>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</si>
  <si>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</si>
  <si>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</si>
  <si>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</si>
  <si>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</si>
  <si>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</si>
  <si>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</si>
  <si>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</si>
  <si>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</si>
  <si>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</si>
  <si>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</si>
  <si>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</si>
  <si>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</si>
  <si>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</si>
  <si>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</si>
  <si>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</si>
  <si>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</si>
  <si>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</si>
  <si>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</si>
  <si>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</si>
  <si>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</si>
  <si>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</si>
  <si>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</si>
  <si>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</si>
  <si>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</si>
  <si>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</si>
  <si>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</si>
  <si>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</si>
  <si>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</si>
  <si>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</si>
  <si>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</si>
  <si>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</si>
  <si>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</si>
  <si>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</si>
  <si>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</si>
  <si>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</si>
  <si>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</si>
  <si>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</si>
  <si>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</si>
  <si>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</si>
  <si>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</si>
  <si>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</si>
  <si>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</si>
  <si>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</si>
  <si>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</si>
  <si>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</si>
  <si>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</si>
  <si>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</si>
  <si>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</si>
  <si>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</si>
  <si>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</si>
  <si>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</si>
  <si>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</si>
  <si>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</si>
  <si>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</si>
  <si>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</si>
  <si>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</si>
  <si>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</si>
  <si>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</si>
  <si>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</si>
  <si>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</si>
  <si>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</si>
  <si>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</si>
  <si>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</si>
  <si>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</si>
  <si>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</si>
  <si>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</si>
  <si>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</si>
  <si>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</si>
  <si>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</si>
  <si>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</si>
  <si>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</si>
  <si>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</si>
  <si>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</si>
  <si>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</si>
  <si>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</si>
  <si>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</si>
  <si>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</si>
  <si>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</si>
  <si>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</si>
  <si>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</si>
  <si>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</si>
  <si>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</si>
  <si>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</si>
  <si>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</si>
  <si>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</si>
  <si>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</si>
  <si>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</si>
  <si>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</si>
  <si>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</si>
  <si>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</si>
  <si>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</si>
  <si>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</si>
  <si>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</si>
  <si>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</si>
  <si>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</si>
  <si>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</si>
  <si>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</si>
  <si>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</si>
  <si>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</si>
  <si>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</si>
  <si>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</si>
  <si>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</si>
  <si>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</si>
  <si>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</si>
  <si>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</si>
  <si>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</si>
  <si>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</si>
  <si>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</si>
  <si>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</si>
  <si>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</si>
  <si>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</si>
  <si>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</si>
  <si>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</si>
  <si>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</si>
  <si>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</si>
  <si>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</si>
  <si>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</si>
  <si>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</si>
  <si>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</si>
  <si>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</si>
  <si>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</si>
  <si>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</si>
  <si>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</si>
  <si>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</si>
  <si>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</si>
  <si>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</si>
  <si>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</si>
  <si>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</si>
  <si>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</si>
  <si>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</si>
  <si>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</si>
  <si>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</si>
  <si>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</si>
  <si>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</si>
  <si>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</si>
  <si>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</si>
  <si>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</si>
  <si>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</si>
  <si>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</si>
  <si>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</si>
  <si>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</si>
  <si>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</si>
  <si>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</si>
  <si>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</si>
  <si>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</si>
  <si>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</si>
  <si>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</si>
  <si>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</si>
  <si>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</si>
  <si>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</si>
  <si>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</si>
  <si>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</si>
  <si>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</si>
  <si>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</si>
  <si>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</si>
  <si>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</si>
  <si>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</si>
  <si>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</si>
  <si>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</si>
  <si>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</si>
  <si>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</si>
  <si>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</si>
  <si>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</si>
  <si>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</si>
  <si>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</si>
  <si>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</si>
  <si>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</si>
  <si>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</si>
  <si>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</si>
  <si>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</si>
  <si>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</si>
  <si>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</si>
  <si>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</si>
  <si>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</si>
  <si>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</si>
  <si>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</si>
  <si>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</si>
  <si>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</si>
  <si>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</si>
  <si>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</si>
  <si>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</si>
  <si>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</si>
  <si>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</si>
  <si>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</si>
  <si>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</si>
  <si>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</si>
  <si>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</si>
  <si>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</si>
  <si>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</si>
  <si>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</si>
  <si>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</si>
  <si>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</si>
  <si>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</si>
  <si>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</si>
  <si>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</si>
  <si>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</si>
  <si>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</si>
  <si>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</si>
  <si>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</si>
  <si>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</si>
  <si>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</si>
  <si>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</si>
  <si>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</si>
  <si>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</si>
  <si>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</si>
  <si>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</si>
  <si>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</si>
  <si>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</si>
  <si>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</si>
  <si>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</si>
  <si>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</si>
  <si>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</si>
  <si>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</si>
  <si>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</si>
  <si>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</si>
  <si>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</si>
  <si>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</si>
  <si>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</si>
  <si>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</si>
  <si>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</si>
  <si>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</si>
  <si>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</si>
  <si>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</si>
  <si>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</si>
  <si>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</si>
  <si>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</si>
  <si>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</si>
  <si>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</si>
  <si>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</si>
  <si>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</si>
  <si>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</si>
  <si>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</si>
  <si>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</si>
  <si>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</si>
  <si>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</si>
  <si>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</si>
  <si>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</si>
  <si>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</si>
  <si>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</si>
  <si>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</si>
  <si>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</si>
  <si>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</si>
  <si>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</si>
  <si>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</si>
  <si>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</si>
  <si>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</si>
  <si>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</si>
  <si>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</si>
  <si>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</si>
  <si>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</si>
  <si>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</si>
  <si>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</si>
  <si>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</si>
  <si>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</si>
  <si>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</si>
  <si>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</si>
  <si>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</si>
  <si>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</si>
  <si>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</si>
  <si>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</si>
  <si>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</si>
  <si>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</si>
  <si>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</si>
  <si>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</si>
  <si>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</si>
  <si>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</si>
  <si>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</si>
  <si>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</si>
  <si>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</si>
  <si>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</si>
  <si>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</si>
  <si>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</si>
  <si>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</si>
  <si>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</si>
  <si>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</si>
  <si>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</si>
  <si>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</si>
  <si>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</si>
  <si>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</si>
  <si>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</si>
  <si>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</si>
  <si>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</si>
  <si>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</si>
  <si>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</si>
  <si>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</si>
  <si>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</si>
  <si>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</si>
  <si>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</si>
  <si>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</si>
  <si>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</si>
  <si>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</si>
  <si>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</si>
  <si>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</si>
  <si>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</si>
  <si>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</si>
  <si>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</si>
  <si>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</si>
  <si>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</si>
  <si>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</si>
  <si>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</si>
  <si>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</si>
  <si>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</si>
  <si>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</si>
  <si>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</si>
  <si>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</si>
  <si>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</si>
  <si>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</si>
  <si>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</si>
  <si>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</si>
  <si>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</si>
  <si>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</si>
  <si>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</si>
  <si>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</si>
  <si>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</si>
  <si>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</si>
  <si>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</si>
  <si>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</si>
  <si>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</si>
  <si>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</si>
  <si>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</si>
  <si>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</si>
  <si>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</si>
  <si>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</si>
  <si>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</si>
  <si>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</si>
  <si>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</si>
  <si>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</si>
  <si>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</si>
  <si>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</si>
  <si>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</si>
  <si>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</si>
  <si>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</si>
  <si>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</si>
  <si>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</si>
  <si>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</si>
  <si>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</si>
  <si>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</si>
  <si>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</si>
  <si>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</si>
  <si>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</si>
  <si>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</si>
  <si>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</si>
  <si>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</si>
  <si>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</si>
  <si>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</si>
  <si>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</si>
  <si>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</si>
  <si>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</si>
  <si>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</si>
  <si>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</si>
  <si>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</si>
  <si>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</si>
  <si>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</si>
  <si>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</si>
  <si>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</si>
  <si>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</si>
  <si>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</si>
  <si>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</si>
  <si>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</si>
  <si>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</si>
  <si>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</si>
  <si>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</si>
  <si>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</si>
  <si>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</si>
  <si>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</si>
  <si>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</si>
  <si>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</si>
  <si>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</si>
  <si>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</si>
  <si>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</si>
  <si>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</si>
  <si>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</si>
  <si>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</si>
  <si>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</si>
  <si>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</si>
  <si>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</si>
  <si>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</si>
  <si>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</si>
  <si>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</si>
  <si>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</si>
  <si>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</si>
  <si>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</si>
  <si>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</si>
  <si>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</si>
  <si>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</si>
  <si>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</si>
  <si>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</si>
  <si>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</si>
  <si>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</si>
  <si>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</si>
  <si>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</si>
  <si>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</si>
  <si>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</si>
  <si>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</si>
  <si>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</si>
  <si>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</si>
  <si>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</si>
  <si>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</si>
  <si>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</si>
  <si>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</si>
  <si>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</si>
  <si>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</si>
  <si>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</si>
  <si>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</si>
  <si>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</si>
  <si>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</si>
  <si>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</si>
  <si>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</si>
  <si>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</si>
  <si>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</si>
  <si>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</si>
  <si>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</si>
  <si>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</si>
  <si>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</si>
  <si>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</si>
  <si>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</si>
  <si>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</si>
  <si>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</si>
  <si>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</si>
  <si>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</si>
  <si>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</si>
  <si>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</si>
  <si>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</si>
  <si>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</si>
  <si>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</si>
  <si>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</si>
  <si>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</si>
  <si>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</si>
  <si>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</si>
  <si>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</si>
  <si>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</si>
  <si>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</si>
  <si>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</si>
  <si>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</si>
  <si>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</si>
  <si>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</si>
  <si>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</si>
  <si>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</si>
  <si>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</si>
  <si>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</si>
  <si>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</si>
  <si>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</si>
  <si>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</si>
  <si>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</si>
  <si>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</si>
  <si>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</si>
  <si>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</si>
  <si>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</si>
  <si>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</si>
  <si>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</si>
  <si>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</si>
  <si>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</si>
  <si>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</si>
  <si>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</si>
  <si>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</si>
  <si>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</si>
  <si>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</si>
  <si>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</si>
  <si>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</si>
  <si>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</si>
  <si>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</si>
  <si>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</si>
  <si>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</si>
  <si>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</si>
  <si>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</si>
  <si>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</si>
  <si>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</si>
  <si>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</si>
  <si>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</si>
  <si>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</si>
  <si>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</si>
  <si>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</si>
  <si>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</si>
  <si>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</si>
  <si>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</si>
  <si>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</si>
  <si>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</si>
  <si>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</si>
  <si>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</si>
  <si>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</si>
  <si>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</si>
  <si>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</si>
  <si>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</si>
  <si>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</si>
  <si>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</si>
  <si>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</si>
  <si>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</si>
  <si>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</si>
  <si>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</si>
  <si>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</si>
  <si>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</si>
  <si>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</si>
  <si>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</si>
  <si>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</si>
  <si>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</si>
  <si>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</si>
  <si>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</si>
  <si>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</si>
  <si>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</si>
  <si>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</si>
  <si>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</si>
  <si>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</si>
  <si>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</si>
  <si>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</si>
  <si>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</si>
  <si>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</si>
  <si>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</si>
  <si>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</si>
  <si>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</si>
  <si>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</si>
  <si>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</si>
  <si>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</si>
  <si>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</si>
  <si>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</si>
  <si>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</si>
  <si>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</si>
  <si>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</si>
  <si>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</si>
  <si>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</si>
  <si>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</si>
  <si>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</si>
  <si>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</si>
  <si>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</si>
  <si>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</si>
  <si>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</si>
  <si>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</si>
  <si>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</si>
  <si>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</si>
  <si>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</si>
  <si>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</si>
  <si>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</si>
  <si>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</si>
  <si>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</si>
  <si>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</si>
  <si>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</si>
  <si>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</si>
  <si>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</si>
  <si>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</si>
  <si>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</si>
  <si>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</si>
  <si>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</si>
  <si>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</si>
  <si>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</si>
  <si>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</si>
  <si>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</si>
  <si>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</si>
  <si>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</si>
  <si>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</si>
  <si>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</si>
  <si>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</si>
  <si>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</si>
  <si>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</si>
  <si>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</si>
  <si>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</si>
  <si>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</si>
  <si>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</si>
  <si>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</si>
  <si>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</si>
  <si>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</si>
  <si>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</si>
  <si>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</si>
  <si>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</si>
  <si>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</si>
  <si>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</si>
  <si>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</si>
  <si>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</si>
  <si>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</si>
  <si>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</si>
  <si>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</si>
  <si>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</si>
  <si>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</si>
  <si>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</si>
  <si>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</si>
  <si>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</si>
  <si>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</si>
  <si>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</si>
  <si>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</si>
  <si>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</si>
  <si>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</si>
  <si>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</si>
  <si>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</si>
  <si>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</si>
  <si>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</si>
  <si>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</si>
  <si>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</si>
  <si>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</si>
  <si>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</si>
  <si>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</si>
  <si>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</si>
  <si>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</si>
  <si>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</si>
  <si>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</si>
  <si>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</si>
  <si>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</si>
  <si>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</si>
  <si>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</si>
  <si>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</si>
  <si>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</si>
  <si>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</si>
  <si>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</si>
  <si>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</si>
  <si>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</si>
  <si>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</si>
  <si>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</si>
  <si>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</si>
  <si>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</si>
  <si>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</si>
  <si>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</si>
  <si>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</si>
  <si>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</si>
  <si>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</si>
  <si>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</si>
  <si>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</si>
  <si>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</si>
  <si>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</si>
  <si>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</si>
  <si>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</si>
  <si>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</si>
  <si>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</si>
  <si>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</si>
  <si>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</si>
  <si>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</si>
  <si>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</si>
  <si>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</si>
  <si>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</si>
  <si>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</si>
  <si>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</si>
  <si>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</si>
  <si>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</si>
  <si>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</si>
  <si>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</si>
  <si>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</si>
  <si>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</si>
  <si>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</si>
  <si>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</si>
  <si>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</si>
  <si>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</si>
  <si>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</si>
  <si>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</si>
  <si>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</si>
  <si>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</si>
  <si>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</si>
  <si>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</si>
  <si>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</si>
  <si>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</si>
  <si>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</si>
  <si>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</si>
  <si>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</si>
  <si>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</si>
  <si>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</si>
  <si>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</si>
  <si>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</si>
  <si>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</si>
  <si>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</si>
  <si>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</si>
  <si>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</si>
  <si>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</si>
  <si>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</si>
  <si>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</si>
  <si>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</si>
  <si>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</si>
  <si>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</si>
  <si>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</si>
  <si>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</si>
  <si>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</si>
  <si>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</si>
  <si>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</si>
  <si>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</si>
  <si>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</si>
  <si>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</si>
  <si>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</si>
  <si>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</si>
  <si>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</si>
  <si>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</si>
  <si>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</si>
  <si>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</si>
  <si>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</si>
  <si>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</si>
  <si>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</si>
  <si>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</si>
  <si>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</si>
  <si>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</si>
  <si>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</si>
  <si>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</si>
  <si>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</si>
  <si>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</si>
  <si>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</si>
  <si>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</si>
  <si>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</si>
  <si>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</si>
  <si>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</si>
  <si>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</si>
  <si>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</si>
  <si>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</si>
  <si>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</si>
  <si>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</si>
  <si>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</si>
  <si>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</si>
  <si>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</si>
  <si>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</si>
  <si>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</si>
  <si>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</si>
  <si>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</si>
  <si>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</si>
  <si>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</si>
  <si>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</si>
  <si>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</si>
  <si>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</si>
  <si>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</si>
  <si>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</si>
  <si>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</si>
  <si>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</si>
  <si>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</si>
  <si>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</si>
  <si>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</si>
  <si>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</si>
  <si>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</si>
  <si>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</si>
  <si>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</si>
  <si>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</si>
  <si>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</si>
  <si>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</si>
  <si>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</si>
  <si>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</si>
  <si>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</si>
  <si>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</si>
  <si>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</si>
  <si>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</si>
  <si>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</si>
  <si>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</si>
  <si>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</si>
  <si>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</si>
  <si>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</si>
  <si>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</si>
  <si>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</si>
  <si>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</si>
  <si>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</si>
  <si>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</si>
  <si>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</si>
  <si>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</si>
  <si>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</si>
  <si>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</si>
  <si>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</si>
  <si>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</si>
  <si>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</si>
  <si>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</si>
  <si>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</si>
  <si>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</si>
  <si>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</si>
  <si>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</si>
  <si>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</si>
  <si>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</si>
  <si>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</si>
  <si>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</si>
  <si>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</si>
  <si>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</si>
  <si>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</si>
  <si>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</si>
  <si>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</si>
  <si>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</si>
  <si>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</si>
  <si>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</si>
  <si>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</si>
  <si>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</si>
  <si>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</si>
  <si>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</si>
  <si>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</si>
  <si>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</si>
  <si>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</si>
  <si>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</si>
  <si>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</si>
  <si>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</si>
  <si>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</si>
  <si>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</si>
  <si>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</si>
  <si>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</si>
  <si>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</si>
  <si>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</si>
  <si>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</si>
  <si>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</si>
  <si>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</si>
  <si>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</si>
  <si>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</si>
  <si>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</si>
  <si>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</si>
  <si>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</si>
  <si>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</si>
  <si>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</si>
  <si>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</si>
  <si>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</si>
  <si>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</si>
  <si>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</si>
  <si>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</si>
  <si>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</si>
  <si>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</si>
  <si>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</si>
  <si>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</si>
  <si>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</si>
  <si>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</si>
  <si>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</si>
  <si>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</si>
  <si>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</si>
  <si>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</si>
  <si>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</si>
  <si>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</si>
  <si>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</si>
  <si>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</si>
  <si>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</si>
  <si>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</si>
  <si>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</si>
  <si>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</si>
  <si>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</si>
  <si>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</si>
  <si>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</si>
  <si>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</si>
  <si>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</si>
  <si>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</si>
  <si>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</si>
  <si>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</si>
  <si>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</si>
  <si>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</si>
  <si>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</si>
  <si>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</si>
  <si>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</si>
  <si>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</si>
  <si>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</si>
  <si>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</si>
  <si>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</si>
  <si>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</si>
  <si>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</si>
  <si>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</si>
  <si>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</si>
  <si>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</si>
  <si>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</si>
  <si>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</si>
  <si>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</si>
  <si>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</si>
  <si>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</si>
  <si>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</si>
  <si>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</si>
  <si>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</si>
  <si>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</si>
  <si>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</si>
  <si>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</si>
  <si>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</si>
  <si>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</si>
  <si>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</si>
  <si>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</si>
  <si>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</si>
  <si>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</si>
  <si>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</si>
  <si>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</si>
  <si>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</si>
  <si>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</si>
  <si>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</si>
  <si>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</si>
  <si>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</si>
  <si>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</si>
  <si>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</si>
  <si>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</si>
  <si>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</si>
  <si>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</si>
  <si>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</si>
  <si>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</si>
  <si>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</si>
  <si>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</si>
  <si>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</si>
  <si>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</si>
  <si>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</si>
  <si>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</si>
  <si>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</si>
  <si>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</si>
  <si>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</si>
  <si>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</si>
  <si>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</si>
  <si>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</si>
  <si>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</si>
  <si>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</si>
  <si>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</si>
  <si>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</si>
  <si>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</si>
  <si>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</si>
  <si>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</si>
  <si>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</si>
  <si>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</si>
  <si>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</si>
  <si>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</si>
  <si>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</si>
  <si>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</si>
  <si>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</si>
  <si>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</si>
  <si>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</si>
  <si>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</si>
  <si>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</si>
  <si>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</si>
  <si>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</si>
  <si>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</si>
  <si>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</si>
  <si>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</si>
  <si>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</si>
  <si>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</si>
  <si>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</si>
  <si>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</si>
  <si>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</si>
  <si>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</si>
  <si>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</si>
  <si>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</si>
  <si>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</si>
  <si>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</si>
  <si>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</si>
  <si>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</si>
  <si>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</si>
  <si>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</si>
  <si>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</si>
  <si>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</si>
  <si>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</si>
  <si>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</si>
  <si>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</si>
  <si>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</si>
  <si>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</si>
  <si>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</si>
  <si>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</si>
  <si>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</si>
  <si>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</si>
  <si>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</si>
  <si>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</si>
  <si>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</si>
  <si>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</si>
  <si>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</si>
  <si>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</si>
  <si>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</si>
  <si>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</si>
  <si>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</si>
  <si>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</si>
  <si>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</si>
  <si>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</si>
  <si>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</si>
  <si>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</si>
  <si>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</si>
  <si>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</si>
  <si>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</si>
  <si>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</si>
  <si>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</si>
  <si>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</si>
  <si>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</si>
  <si>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</si>
  <si>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</si>
  <si>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</si>
  <si>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</si>
  <si>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</si>
  <si>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</si>
  <si>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</si>
  <si>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</si>
  <si>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</si>
  <si>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</si>
  <si>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</si>
  <si>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</si>
  <si>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</si>
  <si>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</si>
  <si>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</si>
  <si>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</si>
  <si>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</si>
  <si>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</si>
  <si>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</si>
  <si>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</si>
  <si>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</si>
  <si>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</si>
  <si>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</si>
  <si>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</si>
  <si>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</si>
  <si>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</si>
  <si>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</si>
  <si>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</si>
  <si>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</si>
  <si>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</si>
  <si>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</si>
  <si>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</si>
  <si>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</si>
  <si>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</si>
  <si>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</si>
  <si>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</si>
  <si>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</si>
  <si>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</si>
  <si>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</si>
  <si>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</si>
  <si>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</si>
  <si>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</si>
  <si>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</si>
  <si>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</si>
  <si>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</si>
  <si>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</si>
  <si>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</si>
  <si>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</si>
  <si>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</si>
  <si>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</si>
  <si>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</si>
  <si>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</si>
  <si>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</si>
  <si>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</si>
  <si>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</si>
  <si>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</si>
  <si>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</si>
  <si>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</si>
  <si>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</si>
  <si>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</si>
  <si>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</si>
  <si>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</si>
  <si>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</si>
  <si>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</si>
  <si>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</si>
  <si>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</si>
  <si>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</si>
  <si>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</si>
  <si>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</si>
  <si>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</si>
  <si>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</si>
  <si>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</si>
  <si>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</si>
  <si>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</si>
  <si>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</si>
  <si>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</si>
  <si>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</si>
  <si>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</si>
  <si>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</si>
  <si>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</si>
  <si>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</si>
  <si>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</si>
  <si>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</si>
  <si>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</si>
  <si>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</si>
  <si>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</si>
  <si>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</si>
  <si>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</si>
  <si>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</si>
  <si>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</si>
  <si>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</si>
  <si>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</si>
  <si>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</si>
  <si>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</si>
  <si>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</si>
  <si>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</si>
  <si>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</si>
  <si>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</si>
  <si>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</si>
  <si>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</si>
  <si>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</si>
  <si>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</si>
  <si>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</si>
  <si>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</si>
  <si>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</si>
  <si>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</si>
  <si>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</si>
  <si>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</si>
  <si>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</si>
  <si>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</si>
  <si>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</si>
  <si>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</si>
  <si>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</si>
  <si>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</si>
  <si>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</si>
  <si>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</si>
  <si>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</si>
  <si>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</si>
  <si>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</si>
  <si>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</si>
  <si>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</si>
  <si>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</si>
  <si>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</si>
  <si>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</si>
  <si>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</si>
  <si>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</si>
  <si>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</si>
  <si>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</si>
  <si>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</si>
  <si>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</si>
  <si>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</si>
  <si>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</si>
  <si>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</si>
  <si>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</si>
  <si>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</si>
  <si>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</si>
  <si>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</si>
  <si>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</si>
  <si>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</si>
  <si>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</si>
  <si>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</si>
  <si>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</si>
  <si>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</si>
  <si>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</si>
  <si>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</si>
  <si>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</si>
  <si>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</si>
  <si>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</si>
  <si>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</si>
  <si>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</si>
  <si>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</si>
  <si>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</si>
  <si>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</si>
  <si>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</si>
  <si>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</si>
  <si>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</si>
  <si>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</si>
  <si>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</si>
  <si>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</si>
  <si>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</si>
  <si>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</si>
  <si>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</si>
  <si>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</si>
  <si>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</si>
  <si>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</si>
  <si>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</si>
  <si>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</si>
  <si>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</si>
  <si>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</si>
  <si>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</si>
  <si>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</si>
  <si>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</si>
  <si>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</si>
  <si>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</si>
  <si>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</si>
  <si>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</si>
  <si>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</si>
  <si>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</si>
  <si>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</si>
  <si>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</si>
  <si>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</si>
  <si>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</si>
  <si>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</si>
  <si>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</si>
  <si>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</si>
  <si>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</si>
  <si>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</si>
  <si>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</si>
  <si>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</si>
  <si>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</si>
  <si>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</si>
  <si>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</si>
  <si>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</si>
  <si>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</si>
  <si>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</si>
  <si>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</si>
  <si>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</si>
  <si>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</si>
  <si>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</si>
  <si>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</si>
  <si>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</si>
  <si>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</si>
  <si>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</si>
  <si>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</si>
  <si>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</si>
  <si>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</si>
  <si>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</si>
  <si>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</si>
  <si>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</si>
  <si>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</si>
  <si>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</si>
  <si>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</si>
  <si>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</si>
  <si>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</si>
  <si>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</si>
  <si>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</si>
  <si>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</si>
  <si>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</si>
  <si>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</si>
  <si>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</si>
  <si>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</si>
  <si>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</si>
  <si>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</si>
  <si>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</si>
  <si>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</si>
  <si>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</si>
  <si>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</si>
  <si>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</si>
  <si>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</si>
  <si>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</si>
  <si>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</si>
  <si>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</si>
  <si>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</si>
  <si>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</si>
  <si>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</si>
  <si>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</si>
  <si>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</si>
  <si>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</si>
  <si>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</si>
  <si>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</si>
  <si>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</si>
  <si>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</si>
  <si>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</si>
  <si>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</si>
  <si>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</si>
  <si>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</si>
  <si>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</si>
  <si>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</si>
  <si>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</si>
  <si>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</si>
  <si>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</si>
  <si>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</si>
  <si>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</si>
  <si>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</si>
  <si>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</si>
  <si>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</si>
  <si>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</si>
  <si>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</si>
  <si>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</si>
  <si>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</si>
  <si>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</si>
  <si>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</si>
  <si>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</si>
  <si>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</si>
  <si>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</si>
  <si>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</si>
  <si>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</si>
  <si>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</si>
  <si>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</si>
  <si>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</si>
  <si>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</si>
  <si>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</si>
  <si>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</si>
  <si>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</si>
  <si>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</si>
  <si>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</si>
  <si>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</si>
  <si>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</si>
  <si>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</si>
  <si>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</si>
  <si>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</si>
  <si>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</si>
  <si>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</si>
  <si>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</si>
  <si>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</si>
  <si>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</si>
  <si>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</si>
  <si>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</si>
  <si>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</si>
  <si>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</si>
  <si>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</si>
  <si>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</si>
  <si>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</si>
  <si>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</si>
  <si>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</si>
  <si>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</si>
  <si>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</si>
  <si>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</si>
  <si>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</si>
  <si>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</si>
  <si>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</si>
  <si>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</si>
  <si>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</si>
  <si>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</si>
  <si>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</si>
  <si>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</si>
  <si>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</si>
  <si>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</si>
  <si>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</si>
  <si>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</si>
  <si>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</si>
  <si>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</si>
  <si>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</si>
  <si>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</si>
  <si>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</si>
  <si>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</si>
  <si>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</si>
  <si>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</si>
  <si>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</si>
  <si>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</si>
  <si>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</si>
  <si>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</si>
  <si>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</si>
  <si>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</si>
  <si>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</si>
  <si>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</si>
  <si>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</si>
  <si>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</si>
  <si>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</si>
  <si>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</si>
  <si>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</si>
  <si>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</si>
  <si>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</si>
  <si>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</si>
  <si>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</si>
  <si>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</si>
  <si>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</si>
  <si>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</si>
  <si>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</si>
  <si>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</si>
  <si>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</si>
  <si>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</si>
  <si>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</si>
  <si>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</si>
  <si>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</si>
  <si>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</si>
  <si>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</si>
  <si>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</si>
  <si>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</si>
  <si>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</si>
  <si>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</si>
  <si>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</si>
  <si>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</si>
  <si>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</si>
  <si>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</si>
  <si>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</si>
  <si>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</si>
  <si>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</si>
  <si>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</si>
  <si>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</si>
  <si>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</si>
  <si>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</si>
  <si>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</si>
  <si>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</si>
  <si>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</si>
  <si>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</si>
  <si>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</si>
  <si>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</si>
  <si>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</si>
  <si>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</si>
  <si>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</si>
  <si>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</si>
  <si>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</si>
  <si>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</si>
  <si>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</si>
  <si>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</si>
  <si>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</si>
  <si>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</si>
  <si>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</si>
  <si>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</si>
  <si>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</si>
  <si>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</si>
  <si>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</si>
  <si>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</si>
  <si>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</si>
  <si>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</si>
  <si>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</si>
  <si>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</si>
  <si>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</si>
  <si>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</si>
  <si>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</si>
  <si>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</si>
  <si>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</si>
  <si>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</si>
  <si>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</si>
  <si>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</si>
  <si>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</si>
  <si>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</si>
  <si>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</si>
  <si>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</si>
  <si>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</si>
  <si>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</si>
  <si>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</si>
  <si>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</si>
  <si>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</si>
  <si>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</si>
  <si>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</si>
  <si>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</si>
  <si>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</si>
  <si>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</si>
  <si>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</si>
  <si>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</si>
  <si>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</si>
  <si>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</si>
  <si>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</si>
  <si>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</si>
  <si>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</si>
  <si>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</si>
  <si>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</si>
  <si>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</si>
  <si>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</si>
  <si>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</si>
  <si>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</si>
  <si>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</si>
  <si>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</si>
  <si>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</si>
  <si>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</si>
  <si>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</si>
  <si>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</si>
  <si>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</si>
  <si>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</si>
  <si>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</si>
  <si>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</si>
  <si>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</si>
  <si>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</si>
  <si>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</si>
  <si>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</si>
  <si>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</si>
  <si>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</si>
  <si>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</si>
  <si>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</si>
  <si>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</si>
  <si>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</si>
  <si>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</si>
  <si>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</si>
  <si>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</si>
  <si>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</si>
  <si>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</si>
  <si>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</si>
  <si>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</si>
  <si>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</si>
  <si>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</si>
  <si>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</si>
  <si>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</si>
  <si>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</si>
  <si>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</si>
  <si>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</si>
  <si>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</si>
  <si>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</si>
  <si>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</si>
  <si>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</si>
  <si>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</si>
  <si>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</si>
  <si>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</si>
  <si>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</si>
  <si>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</si>
  <si>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</si>
  <si>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</si>
  <si>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</si>
  <si>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</si>
  <si>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</si>
  <si>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</si>
  <si>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</si>
  <si>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</si>
  <si>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</si>
  <si>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</si>
  <si>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</si>
  <si>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</si>
  <si>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</si>
  <si>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</si>
  <si>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</si>
  <si>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</si>
  <si>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</si>
  <si>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</si>
  <si>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</si>
  <si>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</si>
  <si>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</si>
  <si>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</si>
  <si>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</si>
  <si>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</si>
  <si>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</si>
  <si>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</si>
  <si>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</si>
  <si>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</si>
  <si>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</si>
  <si>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</si>
  <si>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</si>
  <si>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</si>
  <si>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</si>
  <si>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</si>
  <si>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</si>
  <si>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</si>
  <si>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</si>
  <si>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</si>
  <si>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</si>
  <si>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</si>
  <si>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</si>
  <si>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</si>
  <si>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</si>
  <si>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</si>
  <si>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</si>
  <si>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</si>
  <si>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</si>
  <si>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</si>
  <si>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</si>
  <si>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</si>
  <si>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</si>
  <si>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</si>
  <si>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</si>
  <si>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</si>
  <si>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</si>
  <si>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</si>
  <si>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</si>
  <si>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</si>
  <si>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</si>
  <si>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</si>
  <si>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</si>
  <si>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</si>
  <si>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</si>
  <si>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</si>
  <si>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</si>
  <si>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</si>
  <si>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</si>
  <si>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</si>
  <si>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</si>
  <si>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</si>
  <si>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</si>
  <si>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</si>
  <si>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</si>
  <si>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</si>
  <si>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</si>
  <si>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</si>
  <si>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</si>
  <si>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</si>
  <si>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</si>
  <si>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</si>
  <si>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</si>
  <si>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</si>
  <si>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</si>
  <si>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</si>
  <si>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</si>
  <si>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</si>
  <si>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</si>
  <si>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</si>
  <si>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</si>
  <si>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</si>
  <si>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</si>
  <si>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</si>
  <si>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</si>
  <si>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</si>
  <si>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</si>
  <si>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</si>
  <si>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</si>
  <si>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</si>
  <si>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</si>
  <si>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</si>
  <si>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</si>
  <si>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</si>
  <si>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</si>
  <si>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</si>
  <si>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</si>
  <si>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</si>
  <si>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</si>
  <si>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</si>
  <si>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</si>
  <si>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</si>
  <si>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</si>
  <si>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</si>
  <si>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</si>
  <si>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</si>
  <si>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</si>
  <si>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</si>
  <si>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</si>
  <si>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</si>
  <si>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</si>
  <si>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</si>
  <si>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</si>
  <si>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</si>
  <si>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</si>
  <si>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</si>
  <si>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</si>
  <si>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</si>
  <si>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</si>
  <si>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</si>
  <si>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</si>
  <si>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</si>
  <si>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</si>
  <si>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</si>
  <si>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</si>
  <si>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</si>
  <si>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</si>
  <si>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</si>
  <si>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</si>
  <si>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</si>
  <si>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</si>
  <si>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</si>
  <si>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</si>
  <si>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</si>
  <si>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</si>
  <si>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</si>
  <si>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</si>
  <si>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</si>
  <si>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</si>
  <si>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</si>
  <si>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</si>
  <si>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</si>
  <si>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</si>
  <si>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</si>
  <si>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</si>
  <si>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</si>
  <si>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</si>
  <si>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</si>
  <si>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</si>
  <si>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</si>
  <si>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</si>
  <si>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</si>
  <si>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</si>
  <si>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</si>
  <si>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</si>
  <si>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</si>
  <si>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</si>
  <si>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</si>
  <si>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</si>
  <si>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</si>
  <si>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</si>
  <si>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</si>
  <si>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</si>
  <si>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</si>
  <si>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</si>
  <si>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</si>
  <si>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</si>
  <si>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</si>
  <si>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</si>
  <si>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</si>
  <si>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</si>
  <si>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</si>
  <si>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</si>
  <si>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</si>
  <si>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</si>
  <si>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</si>
  <si>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</si>
  <si>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</si>
  <si>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</si>
  <si>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</si>
  <si>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</si>
  <si>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</si>
  <si>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</si>
  <si>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</si>
  <si>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</si>
  <si>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</si>
  <si>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</si>
  <si>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</si>
  <si>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</si>
  <si>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</si>
  <si>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</si>
  <si>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</si>
  <si>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</si>
  <si>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</si>
  <si>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</si>
  <si>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</si>
  <si>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</si>
  <si>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</si>
  <si>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</si>
  <si>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</si>
  <si>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</si>
  <si>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</si>
  <si>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</si>
  <si>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</si>
  <si>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</si>
  <si>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</si>
  <si>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</si>
  <si>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</si>
  <si>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</si>
  <si>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</si>
  <si>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</si>
  <si>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</si>
  <si>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</si>
  <si>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</si>
  <si>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</si>
  <si>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</si>
  <si>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</si>
  <si>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</si>
  <si>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</si>
  <si>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</si>
  <si>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</si>
  <si>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</si>
  <si>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</si>
  <si>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</si>
  <si>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</si>
  <si>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</si>
  <si>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</si>
  <si>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</si>
  <si>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</si>
  <si>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</si>
  <si>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</si>
  <si>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</si>
  <si>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</si>
  <si>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</si>
  <si>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</si>
  <si>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</si>
  <si>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</si>
  <si>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</si>
  <si>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</si>
  <si>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</si>
  <si>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</si>
  <si>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</si>
  <si>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</si>
  <si>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</si>
  <si>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</si>
  <si>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</si>
  <si>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</si>
  <si>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</si>
  <si>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</si>
  <si>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</si>
  <si>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</si>
  <si>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</si>
  <si>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</si>
  <si>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</si>
  <si>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</si>
  <si>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</si>
  <si>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</si>
  <si>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</si>
  <si>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</si>
  <si>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</si>
  <si>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</si>
  <si>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</si>
  <si>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</si>
  <si>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</si>
  <si>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</si>
  <si>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</si>
  <si>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</si>
  <si>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</si>
  <si>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</si>
  <si>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</si>
  <si>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</si>
  <si>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</si>
  <si>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</si>
  <si>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</si>
  <si>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</si>
  <si>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</si>
  <si>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</si>
  <si>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</si>
  <si>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</si>
  <si>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</si>
  <si>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</si>
  <si>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</si>
  <si>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</si>
  <si>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</si>
  <si>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</si>
  <si>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</si>
  <si>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</si>
  <si>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</si>
  <si>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</si>
  <si>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</si>
  <si>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</si>
  <si>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</si>
  <si>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</si>
  <si>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</si>
  <si>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</si>
  <si>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</si>
  <si>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</si>
  <si>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</si>
  <si>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</si>
  <si>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</si>
  <si>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</si>
  <si>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</si>
  <si>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</si>
  <si>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</si>
  <si>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</si>
  <si>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</si>
  <si>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</si>
  <si>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</si>
  <si>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</si>
  <si>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</si>
  <si>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</si>
  <si>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</si>
  <si>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</si>
  <si>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</si>
  <si>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</si>
  <si>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</si>
  <si>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</si>
  <si>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</si>
  <si>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</si>
  <si>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</si>
  <si>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</si>
  <si>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</si>
  <si>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</si>
  <si>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</si>
  <si>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</si>
  <si>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</si>
  <si>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</si>
  <si>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</si>
  <si>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</si>
  <si>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</si>
  <si>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</si>
  <si>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</si>
  <si>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</si>
  <si>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</si>
  <si>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</si>
  <si>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</si>
  <si>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</si>
  <si>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</si>
  <si>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</si>
  <si>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</si>
  <si>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</si>
  <si>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</si>
  <si>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</si>
  <si>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</si>
  <si>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</si>
  <si>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</si>
  <si>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</si>
  <si>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</si>
  <si>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</si>
  <si>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</si>
  <si>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</si>
  <si>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</si>
  <si>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</si>
  <si>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</si>
  <si>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</si>
  <si>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</si>
  <si>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</si>
  <si>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</si>
  <si>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</si>
  <si>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</si>
  <si>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</si>
  <si>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</si>
  <si>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</si>
  <si>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</si>
  <si>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</si>
  <si>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</si>
  <si>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</si>
  <si>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</si>
  <si>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</si>
  <si>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</si>
  <si>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</si>
  <si>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</si>
  <si>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</si>
  <si>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</si>
  <si>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</si>
  <si>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</si>
  <si>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</si>
  <si>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</si>
  <si>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</si>
  <si>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</si>
  <si>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</si>
  <si>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</si>
  <si>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</si>
  <si>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</si>
  <si>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</si>
  <si>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</si>
  <si>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</si>
  <si>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</si>
  <si>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</si>
  <si>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</si>
  <si>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</si>
  <si>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</si>
  <si>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</si>
  <si>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</si>
  <si>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</si>
  <si>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</si>
  <si>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</si>
  <si>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</si>
  <si>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</si>
  <si>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</si>
  <si>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</si>
  <si>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</si>
  <si>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</si>
  <si>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</si>
  <si>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</si>
  <si>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</si>
  <si>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</si>
  <si>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</si>
  <si>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</si>
  <si>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</si>
  <si>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</si>
  <si>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</si>
  <si>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</si>
  <si>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</si>
  <si>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</si>
  <si>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</si>
  <si>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</si>
  <si>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</si>
  <si>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</si>
  <si>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</si>
  <si>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</si>
  <si>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</si>
  <si>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</si>
  <si>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</si>
  <si>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</si>
  <si>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</si>
  <si>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</si>
  <si>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</si>
  <si>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</si>
  <si>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</si>
  <si>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</si>
  <si>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</si>
  <si>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</si>
  <si>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</si>
  <si>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</si>
  <si>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</si>
  <si>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</si>
  <si>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</si>
  <si>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</si>
  <si>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</si>
  <si>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</si>
  <si>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</si>
  <si>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</si>
  <si>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</si>
  <si>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</si>
  <si>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</si>
  <si>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</si>
  <si>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</si>
  <si>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</si>
  <si>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</si>
  <si>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</si>
  <si>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</si>
  <si>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</si>
  <si>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</si>
  <si>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</si>
  <si>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</si>
  <si>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</si>
  <si>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</si>
  <si>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</si>
  <si>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</si>
  <si>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</si>
  <si>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</si>
  <si>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</si>
  <si>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</si>
  <si>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</si>
  <si>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</si>
  <si>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</si>
  <si>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</si>
  <si>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</si>
  <si>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</si>
  <si>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</si>
  <si>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</si>
  <si>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</si>
  <si>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</si>
  <si>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</si>
  <si>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</si>
  <si>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</si>
  <si>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</si>
  <si>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</si>
  <si>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</si>
  <si>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</si>
  <si>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</si>
  <si>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</si>
  <si>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</si>
  <si>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</si>
  <si>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</si>
  <si>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</si>
  <si>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</si>
  <si>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</si>
  <si>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</si>
  <si>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</si>
  <si>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</si>
  <si>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</si>
  <si>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</si>
  <si>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</si>
  <si>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</si>
  <si>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</si>
  <si>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</si>
  <si>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</si>
  <si>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</si>
  <si>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</si>
  <si>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</si>
  <si>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</si>
  <si>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</si>
  <si>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</si>
  <si>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</si>
  <si>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</si>
  <si>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</si>
  <si>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</si>
  <si>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</si>
  <si>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</si>
  <si>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</si>
  <si>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</si>
  <si>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</si>
  <si>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</si>
  <si>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</si>
  <si>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</si>
  <si>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</si>
  <si>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</si>
  <si>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</si>
  <si>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</si>
  <si>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</si>
  <si>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</si>
  <si>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</si>
  <si>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</si>
  <si>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</si>
  <si>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</si>
  <si>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</si>
  <si>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</si>
  <si>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</si>
  <si>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</si>
  <si>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</si>
  <si>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</si>
  <si>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</si>
  <si>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</si>
  <si>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</si>
  <si>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</si>
  <si>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</si>
  <si>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</si>
  <si>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</si>
  <si>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</si>
  <si>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</si>
  <si>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</si>
  <si>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</si>
  <si>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</si>
  <si>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</si>
  <si>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</si>
  <si>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</si>
  <si>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</si>
  <si>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</si>
  <si>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</si>
  <si>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</si>
  <si>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</si>
  <si>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</si>
  <si>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</si>
  <si>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</si>
  <si>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</si>
  <si>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</si>
  <si>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</si>
  <si>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</si>
  <si>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</si>
  <si>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</si>
  <si>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</si>
  <si>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</si>
  <si>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</si>
  <si>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</si>
  <si>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</si>
  <si>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</si>
  <si>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</si>
  <si>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</si>
  <si>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</si>
  <si>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</si>
  <si>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</si>
  <si>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</si>
  <si>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</si>
  <si>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</si>
  <si>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</si>
  <si>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</si>
  <si>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</si>
  <si>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</si>
  <si>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</si>
  <si>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</si>
  <si>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</si>
  <si>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</si>
  <si>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</si>
  <si>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</si>
  <si>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</si>
  <si>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</si>
  <si>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</si>
  <si>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</si>
  <si>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</si>
  <si>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</si>
  <si>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</si>
  <si>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</si>
  <si>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</si>
  <si>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</si>
  <si>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</si>
  <si>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</si>
  <si>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</si>
  <si>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</si>
  <si>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</si>
  <si>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</si>
  <si>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</si>
  <si>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</si>
  <si>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</si>
  <si>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</si>
  <si>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</si>
  <si>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</si>
  <si>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</si>
  <si>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</si>
  <si>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</si>
  <si>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</si>
  <si>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</si>
  <si>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</si>
  <si>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</si>
  <si>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</si>
  <si>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</si>
  <si>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</si>
  <si>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</si>
  <si>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</si>
  <si>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</si>
  <si>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</si>
  <si>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</si>
  <si>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</si>
  <si>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</si>
  <si>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</si>
  <si>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</si>
  <si>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</si>
  <si>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</si>
  <si>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</si>
  <si>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</si>
  <si>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</si>
  <si>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</si>
  <si>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</si>
  <si>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</si>
  <si>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</si>
  <si>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</si>
  <si>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</si>
  <si>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</si>
  <si>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</si>
  <si>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</si>
  <si>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</si>
  <si>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</si>
  <si>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</si>
  <si>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</si>
  <si>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</si>
  <si>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</si>
  <si>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</si>
  <si>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</si>
  <si>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</si>
  <si>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</si>
  <si>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</si>
  <si>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</si>
  <si>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</si>
  <si>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</si>
  <si>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</si>
  <si>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</si>
  <si>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</si>
  <si>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</si>
  <si>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</si>
  <si>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</si>
  <si>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</si>
  <si>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</si>
  <si>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</si>
  <si>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</si>
  <si>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</si>
  <si>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</si>
  <si>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</si>
  <si>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</si>
  <si>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</si>
  <si>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</si>
  <si>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</si>
  <si>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</si>
  <si>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</si>
  <si>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</si>
  <si>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</si>
  <si>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</si>
  <si>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</si>
  <si>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</si>
  <si>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</si>
  <si>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</si>
  <si>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</si>
  <si>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</si>
  <si>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</si>
  <si>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</si>
  <si>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</si>
  <si>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</si>
  <si>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</si>
  <si>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</si>
  <si>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</si>
  <si>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</si>
  <si>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</si>
  <si>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</si>
  <si>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</si>
  <si>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</si>
  <si>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</si>
  <si>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</si>
  <si>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</si>
  <si>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</si>
  <si>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</si>
  <si>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</si>
  <si>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</si>
  <si>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</si>
  <si>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</si>
  <si>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</si>
  <si>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</si>
  <si>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</si>
  <si>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</si>
  <si>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</si>
  <si>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</si>
  <si>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</si>
  <si>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</si>
  <si>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</si>
  <si>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</si>
  <si>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</si>
  <si>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</si>
  <si>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</si>
  <si>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</si>
  <si>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</si>
  <si>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</si>
  <si>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</si>
  <si>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</si>
  <si>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</si>
  <si>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</si>
  <si>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</si>
  <si>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</si>
  <si>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</si>
  <si>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</si>
  <si>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</si>
  <si>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</si>
  <si>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</si>
  <si>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</si>
  <si>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</si>
  <si>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</si>
  <si>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</si>
  <si>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</si>
  <si>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</si>
  <si>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</si>
  <si>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</si>
  <si>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</si>
  <si>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</si>
  <si>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</si>
  <si>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</si>
  <si>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</si>
  <si>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</si>
  <si>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</si>
  <si>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</si>
  <si>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</si>
  <si>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</si>
  <si>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</si>
  <si>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</si>
  <si>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</si>
  <si>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</si>
  <si>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</si>
  <si>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</si>
  <si>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</si>
  <si>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</si>
  <si>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</si>
  <si>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</si>
  <si>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</si>
  <si>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</si>
  <si>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</si>
  <si>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</si>
  <si>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</si>
  <si>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</si>
  <si>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</si>
  <si>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</si>
  <si>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</si>
  <si>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</si>
  <si>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</si>
  <si>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</si>
  <si>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</si>
  <si>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</si>
  <si>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</si>
  <si>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</si>
  <si>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</si>
  <si>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</si>
  <si>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</si>
  <si>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</si>
  <si>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</si>
  <si>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</si>
  <si>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</si>
  <si>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</si>
  <si>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</si>
  <si>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</si>
  <si>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</si>
  <si>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</si>
  <si>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</si>
  <si>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</si>
  <si>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</si>
  <si>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</si>
  <si>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</si>
  <si>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</si>
  <si>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</si>
  <si>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</si>
  <si>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</si>
  <si>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</si>
  <si>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</si>
  <si>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</si>
  <si>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</si>
  <si>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</si>
  <si>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</si>
  <si>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</si>
  <si>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</si>
  <si>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</si>
  <si>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</si>
  <si>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</si>
  <si>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</si>
  <si>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</si>
  <si>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</si>
  <si>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</si>
  <si>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</si>
  <si>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</si>
  <si>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</si>
  <si>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</si>
  <si>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</si>
  <si>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</si>
  <si>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</si>
  <si>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</si>
  <si>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</si>
  <si>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</si>
  <si>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</si>
  <si>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</si>
  <si>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</si>
  <si>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</si>
  <si>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</si>
  <si>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</si>
  <si>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</si>
  <si>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</si>
  <si>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</si>
  <si>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</si>
  <si>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</si>
  <si>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</si>
  <si>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</si>
  <si>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</si>
  <si>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</si>
  <si>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</si>
  <si>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</si>
  <si>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</si>
  <si>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</si>
  <si>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</si>
  <si>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</si>
  <si>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</si>
  <si>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</si>
  <si>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</si>
  <si>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</si>
  <si>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</si>
  <si>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</si>
  <si>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</si>
  <si>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</si>
  <si>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</si>
  <si>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</si>
  <si>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</si>
  <si>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</si>
  <si>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</si>
  <si>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</si>
  <si>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</si>
  <si>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</si>
  <si>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</si>
  <si>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</si>
  <si>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</si>
  <si>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</si>
  <si>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</si>
  <si>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</si>
  <si>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</si>
  <si>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</si>
  <si>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</si>
  <si>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</si>
  <si>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</si>
  <si>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</si>
  <si>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</si>
  <si>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</si>
  <si>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</si>
  <si>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</si>
  <si>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</si>
  <si>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</si>
  <si>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</si>
  <si>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</si>
  <si>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</si>
  <si>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</si>
  <si>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</si>
  <si>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</si>
  <si>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</si>
  <si>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</si>
  <si>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</si>
  <si>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</si>
  <si>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</si>
  <si>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</si>
  <si>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</si>
  <si>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</si>
  <si>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</si>
  <si>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</si>
  <si>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</si>
  <si>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</si>
  <si>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</si>
  <si>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</si>
  <si>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</si>
  <si>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</si>
  <si>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</si>
  <si>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</si>
  <si>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</si>
  <si>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</si>
  <si>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</si>
  <si>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</si>
  <si>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</si>
  <si>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</si>
  <si>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</si>
  <si>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</si>
  <si>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</si>
  <si>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</si>
  <si>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</si>
  <si>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</si>
  <si>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</si>
  <si>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</si>
  <si>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</si>
  <si>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</si>
  <si>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</si>
  <si>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</si>
  <si>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</si>
  <si>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</si>
  <si>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</si>
  <si>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</si>
  <si>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</si>
  <si>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</si>
  <si>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</si>
  <si>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</si>
  <si>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</si>
  <si>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</si>
  <si>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</si>
  <si>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</si>
  <si>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</si>
  <si>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</si>
  <si>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</si>
  <si>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</si>
  <si>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</si>
  <si>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</si>
  <si>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</si>
  <si>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</si>
  <si>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</si>
  <si>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</si>
  <si>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</si>
  <si>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</si>
  <si>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</si>
  <si>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</si>
  <si>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</si>
  <si>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</si>
  <si>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</si>
  <si>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</si>
  <si>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</si>
  <si>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</si>
  <si>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</si>
  <si>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</si>
  <si>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</si>
  <si>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</si>
  <si>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</si>
  <si>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</si>
  <si>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</si>
  <si>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</si>
  <si>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</si>
  <si>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</si>
  <si>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</si>
  <si>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</si>
  <si>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</si>
  <si>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</si>
  <si>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</si>
  <si>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</si>
  <si>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</si>
  <si>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</si>
  <si>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</si>
  <si>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</si>
  <si>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</si>
  <si>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</si>
  <si>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</si>
  <si>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</si>
  <si>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</si>
  <si>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</si>
  <si>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</si>
  <si>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</si>
  <si>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</si>
  <si>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</si>
  <si>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</si>
  <si>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</si>
  <si>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</si>
  <si>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</si>
  <si>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</si>
  <si>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</si>
  <si>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</si>
  <si>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</si>
  <si>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</si>
  <si>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</si>
  <si>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</si>
  <si>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</si>
  <si>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</si>
  <si>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</si>
  <si>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</si>
  <si>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</si>
  <si>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</si>
  <si>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</si>
  <si>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</si>
  <si>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</si>
  <si>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</si>
  <si>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</si>
  <si>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</si>
  <si>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</si>
  <si>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</si>
  <si>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</si>
  <si>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</si>
  <si>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</si>
  <si>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</si>
  <si>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</si>
  <si>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</si>
  <si>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</si>
  <si>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</si>
  <si>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</si>
  <si>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</si>
  <si>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</si>
  <si>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</si>
  <si>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</si>
  <si>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</si>
  <si>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</si>
  <si>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</si>
  <si>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</si>
  <si>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</si>
  <si>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</si>
  <si>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</si>
  <si>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</si>
  <si>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</si>
  <si>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</si>
  <si>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</si>
  <si>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</si>
  <si>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</si>
  <si>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</si>
  <si>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</si>
  <si>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</si>
  <si>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</si>
  <si>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</si>
  <si>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</si>
  <si>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</si>
  <si>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</si>
  <si>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</si>
  <si>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</si>
  <si>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</si>
  <si>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</si>
  <si>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</si>
  <si>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</si>
  <si>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</si>
  <si>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</si>
  <si>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</si>
  <si>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</si>
  <si>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</si>
  <si>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</si>
  <si>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</si>
  <si>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</si>
  <si>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</si>
  <si>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</si>
  <si>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</si>
  <si>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</si>
  <si>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</si>
  <si>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</si>
  <si>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</si>
  <si>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</si>
  <si>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</si>
  <si>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</si>
  <si>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</si>
  <si>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</si>
  <si>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</si>
  <si>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</si>
  <si>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</si>
  <si>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</si>
  <si>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</si>
  <si>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</si>
  <si>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</si>
  <si>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</si>
  <si>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</si>
  <si>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</si>
  <si>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</si>
  <si>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</si>
  <si>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</si>
  <si>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</si>
  <si>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</si>
  <si>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</si>
  <si>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</si>
  <si>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</si>
  <si>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</si>
  <si>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</si>
  <si>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</si>
  <si>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</si>
  <si>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</si>
  <si>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</si>
  <si>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</si>
  <si>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</si>
  <si>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</si>
  <si>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</si>
  <si>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</si>
  <si>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</si>
  <si>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</si>
  <si>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</si>
  <si>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</si>
  <si>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</si>
  <si>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</si>
  <si>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</si>
  <si>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</si>
  <si>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</si>
  <si>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</si>
  <si>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</si>
  <si>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</si>
  <si>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</si>
  <si>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</si>
  <si>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</si>
  <si>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</si>
  <si>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</si>
  <si>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</si>
  <si>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</si>
  <si>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</si>
  <si>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</si>
  <si>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</si>
  <si>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</si>
  <si>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</si>
  <si>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</si>
  <si>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</si>
  <si>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</si>
  <si>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</si>
  <si>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</si>
  <si>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</si>
  <si>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</si>
  <si>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</si>
  <si>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</si>
  <si>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</si>
  <si>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</si>
  <si>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</si>
  <si>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</si>
  <si>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</si>
  <si>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</si>
  <si>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</si>
  <si>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</si>
  <si>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</si>
  <si>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</si>
  <si>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</si>
  <si>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</si>
  <si>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</si>
  <si>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</si>
  <si>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</si>
  <si>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</si>
  <si>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</si>
  <si>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</si>
  <si>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</si>
  <si>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</si>
  <si>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</si>
  <si>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</si>
  <si>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</si>
  <si>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</si>
  <si>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</si>
  <si>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</si>
  <si>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</si>
  <si>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</si>
  <si>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</si>
  <si>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</si>
  <si>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</si>
  <si>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</si>
  <si>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</si>
  <si>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</si>
  <si>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</si>
  <si>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</si>
  <si>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</si>
  <si>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</si>
  <si>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</si>
  <si>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</si>
  <si>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</si>
  <si>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</si>
  <si>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</si>
  <si>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</si>
  <si>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</si>
  <si>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</si>
  <si>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</si>
  <si>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</si>
  <si>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</si>
  <si>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</si>
  <si>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</si>
  <si>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</si>
  <si>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</si>
  <si>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</si>
  <si>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</si>
  <si>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</si>
  <si>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</si>
  <si>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</si>
  <si>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</si>
  <si>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</si>
  <si>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</si>
  <si>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</si>
  <si>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</si>
  <si>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</si>
  <si>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</si>
  <si>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</si>
  <si>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</si>
  <si>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</si>
  <si>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</si>
  <si>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</si>
  <si>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</si>
  <si>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</si>
  <si>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</si>
  <si>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</si>
  <si>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</si>
  <si>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</si>
  <si>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</si>
  <si>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</si>
  <si>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</si>
  <si>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</si>
  <si>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</si>
  <si>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</si>
  <si>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</si>
  <si>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</si>
  <si>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</si>
  <si>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</si>
  <si>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</si>
  <si>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</si>
  <si>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</si>
  <si>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</si>
  <si>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</si>
  <si>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</si>
  <si>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</si>
  <si>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</si>
  <si>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</si>
  <si>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</si>
  <si>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</si>
  <si>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</si>
  <si>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</si>
  <si>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</si>
  <si>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</si>
  <si>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</si>
  <si>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</si>
  <si>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</si>
  <si>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</si>
  <si>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</si>
  <si>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</si>
  <si>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</si>
  <si>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</si>
  <si>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</si>
  <si>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</si>
  <si>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</si>
  <si>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</si>
  <si>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</si>
  <si>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</si>
  <si>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</si>
  <si>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</si>
  <si>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</si>
  <si>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</si>
  <si>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</si>
  <si>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</si>
  <si>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</si>
  <si>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</si>
  <si>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</si>
  <si>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</si>
  <si>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</si>
  <si>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</si>
  <si>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</si>
  <si>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</si>
  <si>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</si>
  <si>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</si>
  <si>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</si>
  <si>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</si>
  <si>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</si>
  <si>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</si>
  <si>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</si>
  <si>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</si>
  <si>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</si>
  <si>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</si>
  <si>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</si>
  <si>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</si>
  <si>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</si>
  <si>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</si>
  <si>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</si>
  <si>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</si>
  <si>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</si>
  <si>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</si>
  <si>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</si>
  <si>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</si>
  <si>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</si>
  <si>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</si>
  <si>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</si>
  <si>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</si>
  <si>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</si>
  <si>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</si>
  <si>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</si>
  <si>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</si>
  <si>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</si>
  <si>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</si>
  <si>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</si>
  <si>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</si>
  <si>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</si>
  <si>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</si>
  <si>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</si>
  <si>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</si>
  <si>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</si>
  <si>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</si>
  <si>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</si>
  <si>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</si>
  <si>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</si>
  <si>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</si>
  <si>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</si>
  <si>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</si>
  <si>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</si>
  <si>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</si>
  <si>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</si>
  <si>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</si>
  <si>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</si>
  <si>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</si>
  <si>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</si>
  <si>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</si>
  <si>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</si>
  <si>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</si>
  <si>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</si>
  <si>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</si>
  <si>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</si>
  <si>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</si>
  <si>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</si>
  <si>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</si>
  <si>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</si>
  <si>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</si>
  <si>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</si>
  <si>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</si>
  <si>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</si>
  <si>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</si>
  <si>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</si>
  <si>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</si>
  <si>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</si>
  <si>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</si>
  <si>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</si>
  <si>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</si>
  <si>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</si>
  <si>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</si>
  <si>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</si>
  <si>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</si>
  <si>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</si>
  <si>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</si>
  <si>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</si>
  <si>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</si>
  <si>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</si>
  <si>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</si>
  <si>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</si>
  <si>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</si>
  <si>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</si>
  <si>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</si>
  <si>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</si>
  <si>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</si>
  <si>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</si>
  <si>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</si>
  <si>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</si>
  <si>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</si>
  <si>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</si>
  <si>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</si>
  <si>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</si>
  <si>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</si>
  <si>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</si>
  <si>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</si>
  <si>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</si>
  <si>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</si>
  <si>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</si>
  <si>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</si>
  <si>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</si>
  <si>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</si>
  <si>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</si>
  <si>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</si>
  <si>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</si>
  <si>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</si>
  <si>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</si>
  <si>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</si>
  <si>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</si>
  <si>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</si>
  <si>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</si>
  <si>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</si>
  <si>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</si>
  <si>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</si>
  <si>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</si>
  <si>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</si>
  <si>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</si>
  <si>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</si>
  <si>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</si>
  <si>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</si>
  <si>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</si>
  <si>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</si>
  <si>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</si>
  <si>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</si>
  <si>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</si>
  <si>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</si>
  <si>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</si>
  <si>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</si>
  <si>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</si>
  <si>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</si>
  <si>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</si>
  <si>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</si>
  <si>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</si>
  <si>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</si>
  <si>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</si>
  <si>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</si>
  <si>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</si>
  <si>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</si>
  <si>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</si>
  <si>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</si>
  <si>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</si>
  <si>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</si>
  <si>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</si>
  <si>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</si>
  <si>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</si>
  <si>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</si>
  <si>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</si>
  <si>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</si>
  <si>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</si>
  <si>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</si>
  <si>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</si>
  <si>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</si>
  <si>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</si>
  <si>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</si>
  <si>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</si>
  <si>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</si>
  <si>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</si>
  <si>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</si>
  <si>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</si>
  <si>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</si>
  <si>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</si>
  <si>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</si>
  <si>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</si>
  <si>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</si>
  <si>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</si>
  <si>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</si>
  <si>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</si>
  <si>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</si>
  <si>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</si>
  <si>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</si>
  <si>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</si>
  <si>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</si>
  <si>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</si>
  <si>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</si>
  <si>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</si>
  <si>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</si>
  <si>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</si>
  <si>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</si>
  <si>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</si>
  <si>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</si>
  <si>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</si>
  <si>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</si>
  <si>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</si>
  <si>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</si>
  <si>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</si>
  <si>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</si>
  <si>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</si>
  <si>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</si>
  <si>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</si>
  <si>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</si>
  <si>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</si>
  <si>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</si>
  <si>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</si>
  <si>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</si>
  <si>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</si>
  <si>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</si>
  <si>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</si>
  <si>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</si>
  <si>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</si>
  <si>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</si>
  <si>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</si>
  <si>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</si>
  <si>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</si>
  <si>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</si>
  <si>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</si>
  <si>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</si>
  <si>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</si>
  <si>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</si>
  <si>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</si>
  <si>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</si>
  <si>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</si>
  <si>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</si>
  <si>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</si>
  <si>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</si>
  <si>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</si>
  <si>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</si>
  <si>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</si>
  <si>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</si>
  <si>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</si>
  <si>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</si>
  <si>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</si>
  <si>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</si>
  <si>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</si>
  <si>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</si>
  <si>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</si>
  <si>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</si>
  <si>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</si>
  <si>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</si>
  <si>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</si>
  <si>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</si>
  <si>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</si>
  <si>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</si>
  <si>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</si>
  <si>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</si>
  <si>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</si>
  <si>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</si>
  <si>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</si>
  <si>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</si>
  <si>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</si>
  <si>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</si>
  <si>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</si>
  <si>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</si>
  <si>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</si>
  <si>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</si>
  <si>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</si>
  <si>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</si>
  <si>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</si>
  <si>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</si>
  <si>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</si>
  <si>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</si>
  <si>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</si>
  <si>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</si>
  <si>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</si>
  <si>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</si>
  <si>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</si>
  <si>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</si>
  <si>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</si>
  <si>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</si>
  <si>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</si>
  <si>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</si>
  <si>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</si>
  <si>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</si>
  <si>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</si>
  <si>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</si>
  <si>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</si>
  <si>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</si>
  <si>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</si>
  <si>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</si>
  <si>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</si>
  <si>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</si>
  <si>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</si>
  <si>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</si>
  <si>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</si>
  <si>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</si>
  <si>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</si>
  <si>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</si>
  <si>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</si>
  <si>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</si>
  <si>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</si>
  <si>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</si>
  <si>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</si>
  <si>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</si>
  <si>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</si>
  <si>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</si>
  <si>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</si>
  <si>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</si>
  <si>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</si>
  <si>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</si>
  <si>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</si>
  <si>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</si>
  <si>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</si>
  <si>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</si>
  <si>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</si>
  <si>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</si>
  <si>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</si>
  <si>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</si>
  <si>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</si>
  <si>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</si>
  <si>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</si>
  <si>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</si>
  <si>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</si>
  <si>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</si>
  <si>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</si>
  <si>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</si>
  <si>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</si>
  <si>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</si>
  <si>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</si>
  <si>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</si>
  <si>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</si>
  <si>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</si>
  <si>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</si>
  <si>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</si>
  <si>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</si>
  <si>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</si>
  <si>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</si>
  <si>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</si>
  <si>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</si>
  <si>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</si>
  <si>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</si>
  <si>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</si>
  <si>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</si>
  <si>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</si>
  <si>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</si>
  <si>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</si>
  <si>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</si>
  <si>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</si>
  <si>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</si>
  <si>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</si>
  <si>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</si>
  <si>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</si>
  <si>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</si>
  <si>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</si>
  <si>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</si>
  <si>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</si>
  <si>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</si>
  <si>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</si>
  <si>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</si>
  <si>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</si>
  <si>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</si>
  <si>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</si>
  <si>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</si>
  <si>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</si>
  <si>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</si>
  <si>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</si>
  <si>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</si>
  <si>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</si>
  <si>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</si>
  <si>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</si>
  <si>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</si>
  <si>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</si>
  <si>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</si>
  <si>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</si>
  <si>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</si>
  <si>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</si>
  <si>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</si>
  <si>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</si>
  <si>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</si>
  <si>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</si>
  <si>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</si>
  <si>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</si>
  <si>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</si>
  <si>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</si>
  <si>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</si>
  <si>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</si>
  <si>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</si>
  <si>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</si>
  <si>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</si>
  <si>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</si>
  <si>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</si>
  <si>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</si>
  <si>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</si>
  <si>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</si>
  <si>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</si>
  <si>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</si>
  <si>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</si>
  <si>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</si>
  <si>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</si>
  <si>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</si>
  <si>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</si>
  <si>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</si>
  <si>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</si>
  <si>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</si>
  <si>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</si>
  <si>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</si>
  <si>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</si>
  <si>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</si>
  <si>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</si>
  <si>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</si>
  <si>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</si>
  <si>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</si>
  <si>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</si>
  <si>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</si>
  <si>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</si>
  <si>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</si>
  <si>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</si>
  <si>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</si>
  <si>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</si>
  <si>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</si>
  <si>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</si>
  <si>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</si>
  <si>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</si>
  <si>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</si>
  <si>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</si>
  <si>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</si>
  <si>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</si>
  <si>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</si>
  <si>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</si>
  <si>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</si>
  <si>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</si>
  <si>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</si>
  <si>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</si>
  <si>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</si>
  <si>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</si>
  <si>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</si>
  <si>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</si>
  <si>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</si>
  <si>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</si>
  <si>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</si>
  <si>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</si>
  <si>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</si>
  <si>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</si>
  <si>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</si>
  <si>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</si>
  <si>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</si>
  <si>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</si>
  <si>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</si>
  <si>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</si>
  <si>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</si>
  <si>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</si>
  <si>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</si>
  <si>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</si>
  <si>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</si>
  <si>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</si>
  <si>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</si>
  <si>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</si>
  <si>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</si>
  <si>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</si>
  <si>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</si>
  <si>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</si>
  <si>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</si>
  <si>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</si>
  <si>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</si>
  <si>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</si>
  <si>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</si>
  <si>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</si>
  <si>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</si>
  <si>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</si>
  <si>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</si>
  <si>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</si>
  <si>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</si>
  <si>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</si>
  <si>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</si>
  <si>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</si>
  <si>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</si>
  <si>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</si>
  <si>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</si>
  <si>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</si>
  <si>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</si>
  <si>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</si>
  <si>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</si>
  <si>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</si>
  <si>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</si>
  <si>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</si>
  <si>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</si>
  <si>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</si>
  <si>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</si>
  <si>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</si>
  <si>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</si>
  <si>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</si>
  <si>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</si>
  <si>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</si>
  <si>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</si>
  <si>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</si>
  <si>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</si>
  <si>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</si>
  <si>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</si>
  <si>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</si>
  <si>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</si>
  <si>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</si>
  <si>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</si>
  <si>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</si>
  <si>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</si>
  <si>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</si>
  <si>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</si>
  <si>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</si>
  <si>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</si>
  <si>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</si>
  <si>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</si>
  <si>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</si>
  <si>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</si>
  <si>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</si>
  <si>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</si>
  <si>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</si>
  <si>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</si>
  <si>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</si>
  <si>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</si>
  <si>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</si>
  <si>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</si>
  <si>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</si>
  <si>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</si>
  <si>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</si>
  <si>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</si>
  <si>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</si>
  <si>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</si>
  <si>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</si>
  <si>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</si>
  <si>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</si>
  <si>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</si>
  <si>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</si>
  <si>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</si>
  <si>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</si>
  <si>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</si>
  <si>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</si>
  <si>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</si>
  <si>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</si>
  <si>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</si>
  <si>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</si>
  <si>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</si>
  <si>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</si>
  <si>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</si>
  <si>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</si>
  <si>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</si>
  <si>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</si>
  <si>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</si>
  <si>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</si>
  <si>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</si>
  <si>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</si>
  <si>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</si>
  <si>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</si>
  <si>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</si>
  <si>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</si>
  <si>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</si>
  <si>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</si>
  <si>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</si>
  <si>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</si>
  <si>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</si>
  <si>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</si>
  <si>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</si>
  <si>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</si>
  <si>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</si>
  <si>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</si>
  <si>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</si>
  <si>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</si>
  <si>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</si>
  <si>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</si>
  <si>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</si>
  <si>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</si>
  <si>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</si>
  <si>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</si>
  <si>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</si>
  <si>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</si>
  <si>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</si>
  <si>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</si>
  <si>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</si>
  <si>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</si>
  <si>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</si>
  <si>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</si>
  <si>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</si>
  <si>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</si>
  <si>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</si>
  <si>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</si>
  <si>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</si>
  <si>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</si>
  <si>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</si>
  <si>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</si>
  <si>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</si>
  <si>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</si>
  <si>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</si>
  <si>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</si>
  <si>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</si>
  <si>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</si>
  <si>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</si>
  <si>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</si>
  <si>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</si>
  <si>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</si>
  <si>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</si>
  <si>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</si>
  <si>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</si>
  <si>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</si>
  <si>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</si>
  <si>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</si>
  <si>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</si>
  <si>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</si>
  <si>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</si>
  <si>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</si>
  <si>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</si>
  <si>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</si>
  <si>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</si>
  <si>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</si>
  <si>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</si>
  <si>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</si>
  <si>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</si>
  <si>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</si>
  <si>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</si>
  <si>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</si>
  <si>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</si>
  <si>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</si>
  <si>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</si>
  <si>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</si>
  <si>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</si>
  <si>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</si>
  <si>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</si>
  <si>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</si>
  <si>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</si>
  <si>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</si>
  <si>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</si>
  <si>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</si>
  <si>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</si>
  <si>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</si>
  <si>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</si>
  <si>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</si>
  <si>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</si>
  <si>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</si>
  <si>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</si>
  <si>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</si>
  <si>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</si>
  <si>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</si>
  <si>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</si>
  <si>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</si>
  <si>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</si>
  <si>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</si>
  <si>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</si>
  <si>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</si>
  <si>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</si>
  <si>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</si>
  <si>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</si>
  <si>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</si>
  <si>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</si>
  <si>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</si>
  <si>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</si>
  <si>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</si>
  <si>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</si>
  <si>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</si>
  <si>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</si>
  <si>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</si>
  <si>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</si>
  <si>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</si>
  <si>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</si>
  <si>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</si>
  <si>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</si>
  <si>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</si>
  <si>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</si>
  <si>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</si>
  <si>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</si>
  <si>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</si>
  <si>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</si>
  <si>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</si>
  <si>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</si>
  <si>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</si>
  <si>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</si>
  <si>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</si>
  <si>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</si>
  <si>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</si>
  <si>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</si>
  <si>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</si>
  <si>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</si>
  <si>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</si>
  <si>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</si>
  <si>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</si>
  <si>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</si>
  <si>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</si>
  <si>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</si>
  <si>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</si>
  <si>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</si>
  <si>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</si>
  <si>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</si>
  <si>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</si>
  <si>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</si>
  <si>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</si>
  <si>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</si>
  <si>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</si>
  <si>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</si>
  <si>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</si>
  <si>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</si>
  <si>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</si>
  <si>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</si>
  <si>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</si>
  <si>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</si>
  <si>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</si>
  <si>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</si>
  <si>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</si>
  <si>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</si>
  <si>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</si>
  <si>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</si>
  <si>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</si>
  <si>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</si>
  <si>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</si>
  <si>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</si>
  <si>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</si>
  <si>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</si>
  <si>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</si>
  <si>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</si>
  <si>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</si>
  <si>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</si>
  <si>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</si>
  <si>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</si>
  <si>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</si>
  <si>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</si>
  <si>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</si>
  <si>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</si>
  <si>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</si>
  <si>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</si>
  <si>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</si>
  <si>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</si>
  <si>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</si>
  <si>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</si>
  <si>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</si>
  <si>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</si>
  <si>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</si>
  <si>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</si>
  <si>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</si>
  <si>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</si>
  <si>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</si>
  <si>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</si>
  <si>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</si>
  <si>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</si>
  <si>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</si>
  <si>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</si>
  <si>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</si>
  <si>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</si>
  <si>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</si>
  <si>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</si>
  <si>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</si>
  <si>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</si>
  <si>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</si>
  <si>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</si>
  <si>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</si>
  <si>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</si>
  <si>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</si>
  <si>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</si>
  <si>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</si>
  <si>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</si>
  <si>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</si>
  <si>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</si>
  <si>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</si>
  <si>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</si>
  <si>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</si>
  <si>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</si>
  <si>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</si>
  <si>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</si>
  <si>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</si>
  <si>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</si>
  <si>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</si>
  <si>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</si>
  <si>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</si>
  <si>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</si>
  <si>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</si>
  <si>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</si>
  <si>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</si>
  <si>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</si>
  <si>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</si>
  <si>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</si>
  <si>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</si>
  <si>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</si>
  <si>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</si>
  <si>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</si>
  <si>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</si>
  <si>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</si>
  <si>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</si>
  <si>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</si>
  <si>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</si>
  <si>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</si>
  <si>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</si>
  <si>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</si>
  <si>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</si>
  <si>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</si>
  <si>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</si>
  <si>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</si>
  <si>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</si>
  <si>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</si>
  <si>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</si>
  <si>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</si>
  <si>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</si>
  <si>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</si>
  <si>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</si>
  <si>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</si>
  <si>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</si>
  <si>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</si>
  <si>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</si>
  <si>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</si>
  <si>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</si>
  <si>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</si>
  <si>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</si>
  <si>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</si>
  <si>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</si>
  <si>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</si>
  <si>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</si>
  <si>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</si>
  <si>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</si>
  <si>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</si>
  <si>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</si>
  <si>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</si>
  <si>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</si>
  <si>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</si>
  <si>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</si>
  <si>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</si>
  <si>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</si>
  <si>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</si>
  <si>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</si>
  <si>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</si>
  <si>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</si>
  <si>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</si>
  <si>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</si>
  <si>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</si>
  <si>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</si>
  <si>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</si>
  <si>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</si>
  <si>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</si>
  <si>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</si>
  <si>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</si>
  <si>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</si>
  <si>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</si>
  <si>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</si>
  <si>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</si>
  <si>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</si>
  <si>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</si>
  <si>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</si>
  <si>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</si>
  <si>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</si>
  <si>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</si>
  <si>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</si>
  <si>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</si>
  <si>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</si>
  <si>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</si>
  <si>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</si>
  <si>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</si>
  <si>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</si>
  <si>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</si>
  <si>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</si>
  <si>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</si>
  <si>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</si>
  <si>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</si>
  <si>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</si>
  <si>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</si>
  <si>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</si>
  <si>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</si>
  <si>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</si>
  <si>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</si>
  <si>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</si>
  <si>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</si>
  <si>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</si>
  <si>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</si>
  <si>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</si>
  <si>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</si>
  <si>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</si>
  <si>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</si>
  <si>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</si>
  <si>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</si>
  <si>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</si>
  <si>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</si>
  <si>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</si>
  <si>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</si>
  <si>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</si>
  <si>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</si>
  <si>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</si>
  <si>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</si>
  <si>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</si>
  <si>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</si>
  <si>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</si>
  <si>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</si>
  <si>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</si>
  <si>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</si>
  <si>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</si>
  <si>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</si>
  <si>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</si>
  <si>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</si>
  <si>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</si>
  <si>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</si>
  <si>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</si>
  <si>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</si>
  <si>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</si>
  <si>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</si>
  <si>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</si>
  <si>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</si>
  <si>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</si>
  <si>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</si>
  <si>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</si>
  <si>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</si>
  <si>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</si>
  <si>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</si>
  <si>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</si>
  <si>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</si>
  <si>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</si>
  <si>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</si>
  <si>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</si>
  <si>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</si>
  <si>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</si>
  <si>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</si>
  <si>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</si>
  <si>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</si>
  <si>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</si>
  <si>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</si>
  <si>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</si>
  <si>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</si>
  <si>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</si>
  <si>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</si>
  <si>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</si>
  <si>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</si>
  <si>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</si>
  <si>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</si>
  <si>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</si>
  <si>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</si>
  <si>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</si>
  <si>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</si>
  <si>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</si>
  <si>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</si>
  <si>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</si>
  <si>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</si>
  <si>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</si>
  <si>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</si>
  <si>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</si>
  <si>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</si>
  <si>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</si>
  <si>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</si>
  <si>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</si>
  <si>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</si>
  <si>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</si>
  <si>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</si>
  <si>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</si>
  <si>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</si>
  <si>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</si>
  <si>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</si>
  <si>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</si>
  <si>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</si>
  <si>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</si>
  <si>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</si>
  <si>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</si>
  <si>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</si>
  <si>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</si>
  <si>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</si>
  <si>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</si>
  <si>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</si>
  <si>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</si>
  <si>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</si>
  <si>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</si>
  <si>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</si>
  <si>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</si>
  <si>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</si>
  <si>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</si>
  <si>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</si>
  <si>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</si>
  <si>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</si>
  <si>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</si>
  <si>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</si>
  <si>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</si>
  <si>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</si>
  <si>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</si>
  <si>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</si>
  <si>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</si>
  <si>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</si>
  <si>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</si>
  <si>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</si>
  <si>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</si>
  <si>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</si>
  <si>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</si>
  <si>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</si>
  <si>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</si>
  <si>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</si>
  <si>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</si>
  <si>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</si>
  <si>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</si>
  <si>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</si>
  <si>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</si>
  <si>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</si>
  <si>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</si>
  <si>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</si>
  <si>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</si>
  <si>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</si>
  <si>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</si>
  <si>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</si>
  <si>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</si>
  <si>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</si>
  <si>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</si>
  <si>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</si>
  <si>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</si>
  <si>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</si>
  <si>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</si>
  <si>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</si>
  <si>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</si>
  <si>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</si>
  <si>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</si>
  <si>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</si>
  <si>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</si>
  <si>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</si>
  <si>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</si>
  <si>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</si>
  <si>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</si>
  <si>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</si>
  <si>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</si>
  <si>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</si>
  <si>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</si>
  <si>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</si>
  <si>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</si>
  <si>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</si>
  <si>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</si>
  <si>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</si>
  <si>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</si>
  <si>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</si>
  <si>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</si>
  <si>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</si>
  <si>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</si>
  <si>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</si>
  <si>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</si>
  <si>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</si>
  <si>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</si>
  <si>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</si>
  <si>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</si>
  <si>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</si>
  <si>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</si>
  <si>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</si>
  <si>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</si>
  <si>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</si>
  <si>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</si>
  <si>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</si>
  <si>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</si>
  <si>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</si>
  <si>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</si>
  <si>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</si>
  <si>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</si>
  <si>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</si>
  <si>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</si>
  <si>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</si>
  <si>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</si>
  <si>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</si>
  <si>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</si>
  <si>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</si>
  <si>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</si>
  <si>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</si>
  <si>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</si>
  <si>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</si>
  <si>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</si>
  <si>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</si>
  <si>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</si>
  <si>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</si>
  <si>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</si>
  <si>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</si>
  <si>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</si>
  <si>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</si>
  <si>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</si>
  <si>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</si>
  <si>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</si>
  <si>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</si>
  <si>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</si>
  <si>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</si>
  <si>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</si>
  <si>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</si>
  <si>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</si>
  <si>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</si>
  <si>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</si>
  <si>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</si>
  <si>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</si>
  <si>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</si>
  <si>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</si>
  <si>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</si>
  <si>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</si>
  <si>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</si>
  <si>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</si>
  <si>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</si>
  <si>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</si>
  <si>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</si>
  <si>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</si>
  <si>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</si>
  <si>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</si>
  <si>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</si>
  <si>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</si>
  <si>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</si>
  <si>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</si>
  <si>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</si>
  <si>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</si>
  <si>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</si>
  <si>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</si>
  <si>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</si>
  <si>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</si>
  <si>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</si>
  <si>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</si>
  <si>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</si>
  <si>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</si>
  <si>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</si>
  <si>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</si>
  <si>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</si>
  <si>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</si>
  <si>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</si>
  <si>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</si>
  <si>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</si>
  <si>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</si>
  <si>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</si>
  <si>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</si>
  <si>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</si>
  <si>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</si>
  <si>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</si>
  <si>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</si>
  <si>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</si>
  <si>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</si>
  <si>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</si>
  <si>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</si>
  <si>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</si>
  <si>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</si>
  <si>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</si>
  <si>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</si>
  <si>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</si>
  <si>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</si>
  <si>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</si>
  <si>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</si>
  <si>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</si>
  <si>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</si>
  <si>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</si>
  <si>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</si>
  <si>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</si>
  <si>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</si>
  <si>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</si>
  <si>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</si>
  <si>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</si>
  <si>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</si>
  <si>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</si>
  <si>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</si>
  <si>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</si>
  <si>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</si>
  <si>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</si>
  <si>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</si>
  <si>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</si>
  <si>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</si>
  <si>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</si>
  <si>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</si>
  <si>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</si>
  <si>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</si>
  <si>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</si>
  <si>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</si>
  <si>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</si>
  <si>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</si>
  <si>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</si>
  <si>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</si>
  <si>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</si>
  <si>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</si>
  <si>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</si>
  <si>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</si>
  <si>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</si>
  <si>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</si>
  <si>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</si>
  <si>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</si>
  <si>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</si>
  <si>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</si>
  <si>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</si>
  <si>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</si>
  <si>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</si>
  <si>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</si>
  <si>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</si>
  <si>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</si>
  <si>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</si>
  <si>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</si>
  <si>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</si>
  <si>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</si>
  <si>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</si>
  <si>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</si>
  <si>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</si>
  <si>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</si>
  <si>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</si>
  <si>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</si>
  <si>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</si>
  <si>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</si>
  <si>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</si>
  <si>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</si>
  <si>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</si>
  <si>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</si>
  <si>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</si>
  <si>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</si>
  <si>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</si>
  <si>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</si>
  <si>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</si>
  <si>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</si>
  <si>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</si>
  <si>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</si>
  <si>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</si>
  <si>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</si>
  <si>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</si>
  <si>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</si>
  <si>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</si>
  <si>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</si>
  <si>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</si>
  <si>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</si>
  <si>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</si>
  <si>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</si>
  <si>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</si>
  <si>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</si>
  <si>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</si>
  <si>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</si>
  <si>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</si>
  <si>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</si>
  <si>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</si>
  <si>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</si>
  <si>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</si>
  <si>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</si>
  <si>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</si>
  <si>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</si>
  <si>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</si>
  <si>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</si>
  <si>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</si>
  <si>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</si>
  <si>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</si>
  <si>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</si>
  <si>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</si>
  <si>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</si>
  <si>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</si>
  <si>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</si>
  <si>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</si>
  <si>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</si>
  <si>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</si>
  <si>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</si>
  <si>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</si>
  <si>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</si>
  <si>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</si>
  <si>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</si>
  <si>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</si>
  <si>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</si>
  <si>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</si>
  <si>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</si>
  <si>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</si>
  <si>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</si>
  <si>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</si>
  <si>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</si>
  <si>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</si>
  <si>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</si>
  <si>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</si>
  <si>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</si>
  <si>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</si>
  <si>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</si>
  <si>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</si>
  <si>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</si>
  <si>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</si>
  <si>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</si>
  <si>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</si>
  <si>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</si>
  <si>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</si>
  <si>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</si>
  <si>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</si>
  <si>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</si>
  <si>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</si>
  <si>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</si>
  <si>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</si>
  <si>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</si>
  <si>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</si>
  <si>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</si>
  <si>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</si>
  <si>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</si>
  <si>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</si>
  <si>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</si>
  <si>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</si>
  <si>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</si>
  <si>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</si>
  <si>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</si>
  <si>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</si>
  <si>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</si>
  <si>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</si>
  <si>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</si>
  <si>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</si>
  <si>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</si>
  <si>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</si>
  <si>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</si>
  <si>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</si>
  <si>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</si>
  <si>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</si>
  <si>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</si>
  <si>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</si>
  <si>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</si>
  <si>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</si>
  <si>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</si>
  <si>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</si>
  <si>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</si>
  <si>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</si>
  <si>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</si>
  <si>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</si>
  <si>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</si>
  <si>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</si>
  <si>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</si>
  <si>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</si>
  <si>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</si>
  <si>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</si>
  <si>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</si>
  <si>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</si>
  <si>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</si>
  <si>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</si>
  <si>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</si>
  <si>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</si>
  <si>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</si>
  <si>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</si>
  <si>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</si>
  <si>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</si>
  <si>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</si>
  <si>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</si>
  <si>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</si>
  <si>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</si>
  <si>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</si>
  <si>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</si>
  <si>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</si>
  <si>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</si>
  <si>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</si>
  <si>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</si>
  <si>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</si>
  <si>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</si>
  <si>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</si>
  <si>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</si>
  <si>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</si>
  <si>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</si>
  <si>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</si>
  <si>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</si>
  <si>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</si>
  <si>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</si>
  <si>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</si>
  <si>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</si>
  <si>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</si>
  <si>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</si>
  <si>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</si>
  <si>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</si>
  <si>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</si>
  <si>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</si>
  <si>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</si>
  <si>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</si>
  <si>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</si>
  <si>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</si>
  <si>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</si>
  <si>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</si>
  <si>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</si>
  <si>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</si>
  <si>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</si>
  <si>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</si>
  <si>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</si>
  <si>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</si>
  <si>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</si>
  <si>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</si>
  <si>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</si>
  <si>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</si>
  <si>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</si>
  <si>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</si>
  <si>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</si>
  <si>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</si>
  <si>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</si>
  <si>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</si>
  <si>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</si>
  <si>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</si>
  <si>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</si>
  <si>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</si>
  <si>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</si>
  <si>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</si>
  <si>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</si>
  <si>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</si>
  <si>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</si>
  <si>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</si>
  <si>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</si>
  <si>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</si>
  <si>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</si>
  <si>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</si>
  <si>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</si>
  <si>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</si>
  <si>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</si>
  <si>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</si>
  <si>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</si>
  <si>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</si>
  <si>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</si>
  <si>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</si>
  <si>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</si>
  <si>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</si>
  <si>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</si>
  <si>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</si>
  <si>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</si>
  <si>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</si>
  <si>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</si>
  <si>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</si>
  <si>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</si>
  <si>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</si>
  <si>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</si>
  <si>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</si>
  <si>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</si>
  <si>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</si>
  <si>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</si>
  <si>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</si>
  <si>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</si>
  <si>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</si>
  <si>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</si>
  <si>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</si>
  <si>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</si>
  <si>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</si>
  <si>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</si>
  <si>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</si>
  <si>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</si>
  <si>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</si>
  <si>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</si>
  <si>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</si>
  <si>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</si>
  <si>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</si>
  <si>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</si>
  <si>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</si>
  <si>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</si>
  <si>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</si>
  <si>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</si>
  <si>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</si>
  <si>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</si>
  <si>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</si>
  <si>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</si>
  <si>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</si>
  <si>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</si>
  <si>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</si>
  <si>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</si>
  <si>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</si>
  <si>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</si>
  <si>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</si>
  <si>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</si>
  <si>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</si>
  <si>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</si>
  <si>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</si>
  <si>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</si>
  <si>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</si>
  <si>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</si>
  <si>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</si>
  <si>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</si>
  <si>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</si>
  <si>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</si>
  <si>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</si>
  <si>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</si>
  <si>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</si>
  <si>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</si>
  <si>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</si>
  <si>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</si>
  <si>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</si>
  <si>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</si>
  <si>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</si>
  <si>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</si>
  <si>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</si>
  <si>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</si>
  <si>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</si>
  <si>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</si>
  <si>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</si>
  <si>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</si>
  <si>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</si>
  <si>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</si>
  <si>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</si>
  <si>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</si>
  <si>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</si>
  <si>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</si>
  <si>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</si>
  <si>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</si>
  <si>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</si>
  <si>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</si>
  <si>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</si>
  <si>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</si>
  <si>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</si>
  <si>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</si>
  <si>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</si>
  <si>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</si>
  <si>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</si>
  <si>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</si>
  <si>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</si>
  <si>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</si>
  <si>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</si>
  <si>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</si>
  <si>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</si>
  <si>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</si>
  <si>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</si>
  <si>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</si>
  <si>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</si>
  <si>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</si>
  <si>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</si>
  <si>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</si>
  <si>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</si>
  <si>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</si>
  <si>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</si>
  <si>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</si>
  <si>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</si>
  <si>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</si>
  <si>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</si>
  <si>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</si>
  <si>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</si>
  <si>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</si>
  <si>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</si>
  <si>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</si>
  <si>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</si>
  <si>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</si>
  <si>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</si>
  <si>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</si>
  <si>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</si>
  <si>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</si>
  <si>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</si>
  <si>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</si>
  <si>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</si>
  <si>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</si>
  <si>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</si>
  <si>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</si>
  <si>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</si>
  <si>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</si>
  <si>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</si>
  <si>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</si>
  <si>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</si>
  <si>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</si>
  <si>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</si>
  <si>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</si>
  <si>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</si>
  <si>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</si>
  <si>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</si>
  <si>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</si>
  <si>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</si>
  <si>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</si>
  <si>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</si>
  <si>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</si>
  <si>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</si>
  <si>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</si>
  <si>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</si>
  <si>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</si>
  <si>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</si>
  <si>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</si>
  <si>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</si>
  <si>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</si>
  <si>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</si>
  <si>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</si>
  <si>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</si>
  <si>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</si>
  <si>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</si>
  <si>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</si>
  <si>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</si>
  <si>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</si>
  <si>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</si>
  <si>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</si>
  <si>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</si>
  <si>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</si>
  <si>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</si>
  <si>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</si>
  <si>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</si>
  <si>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</si>
  <si>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</si>
  <si>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</si>
  <si>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</si>
  <si>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</si>
  <si>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</si>
  <si>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</si>
  <si>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</si>
  <si>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</si>
  <si>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</si>
  <si>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</si>
  <si>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</si>
  <si>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</si>
  <si>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</si>
  <si>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</si>
  <si>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</si>
  <si>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</si>
  <si>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</si>
  <si>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</si>
  <si>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</si>
  <si>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</si>
  <si>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</si>
  <si>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</si>
  <si>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</si>
  <si>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</si>
  <si>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</si>
  <si>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</si>
  <si>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</si>
  <si>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</si>
  <si>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</si>
  <si>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</si>
  <si>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</si>
  <si>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</si>
  <si>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</si>
  <si>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</si>
  <si>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</si>
  <si>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</si>
  <si>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</si>
  <si>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</si>
  <si>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</si>
  <si>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</si>
  <si>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</si>
  <si>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</si>
  <si>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</si>
  <si>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</si>
  <si>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</si>
  <si>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</si>
  <si>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</si>
  <si>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</si>
  <si>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</si>
  <si>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</si>
  <si>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</si>
  <si>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</si>
  <si>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</si>
  <si>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</si>
  <si>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</si>
  <si>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</si>
  <si>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</si>
  <si>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</si>
  <si>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</si>
  <si>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</si>
  <si>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</si>
  <si>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</si>
  <si>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</si>
  <si>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</si>
  <si>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</si>
  <si>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</si>
  <si>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</si>
  <si>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</si>
  <si>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</si>
  <si>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</si>
  <si>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</si>
  <si>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</si>
  <si>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</si>
  <si>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</si>
  <si>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</si>
  <si>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</si>
  <si>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</si>
  <si>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</si>
  <si>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</si>
  <si>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</si>
  <si>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</si>
  <si>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</si>
  <si>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</si>
  <si>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</si>
  <si>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</si>
  <si>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</si>
  <si>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</si>
  <si>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</si>
  <si>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</si>
  <si>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</si>
  <si>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</si>
  <si>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</si>
  <si>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</si>
  <si>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</si>
  <si>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</si>
  <si>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</si>
  <si>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</si>
  <si>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</si>
  <si>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</si>
  <si>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</si>
  <si>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</si>
  <si>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</si>
  <si>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</si>
  <si>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</si>
  <si>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</si>
  <si>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</si>
  <si>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</si>
  <si>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</si>
  <si>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</si>
  <si>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</si>
  <si>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</si>
  <si>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</si>
  <si>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</si>
  <si>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</si>
  <si>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</si>
  <si>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</si>
  <si>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</si>
  <si>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</si>
  <si>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</si>
  <si>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</si>
  <si>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</si>
  <si>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</si>
  <si>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</si>
  <si>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</si>
  <si>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</si>
  <si>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</si>
  <si>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</si>
  <si>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</si>
  <si>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</si>
  <si>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</si>
  <si>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</si>
  <si>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</si>
  <si>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</si>
  <si>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</si>
  <si>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</si>
  <si>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</si>
  <si>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</si>
  <si>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</si>
  <si>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</si>
  <si>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</si>
  <si>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</si>
  <si>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</si>
  <si>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</si>
  <si>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</si>
  <si>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</si>
  <si>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</si>
  <si>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</si>
  <si>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</si>
  <si>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</si>
  <si>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</si>
  <si>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</si>
  <si>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</si>
  <si>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</si>
  <si>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</si>
  <si>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</si>
  <si>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</si>
  <si>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</si>
  <si>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</si>
  <si>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</si>
  <si>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</si>
  <si>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</si>
  <si>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</si>
  <si>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</si>
  <si>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</si>
  <si>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</si>
  <si>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</si>
  <si>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</si>
  <si>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</si>
  <si>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</si>
  <si>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</si>
  <si>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</si>
  <si>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</si>
  <si>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</si>
  <si>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</si>
  <si>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</si>
  <si>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</si>
  <si>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</si>
  <si>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</si>
  <si>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</si>
  <si>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</si>
  <si>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</si>
  <si>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</si>
  <si>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</si>
  <si>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</si>
  <si>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</si>
  <si>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</si>
  <si>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</si>
  <si>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</si>
  <si>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</si>
  <si>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</si>
  <si>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</si>
  <si>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</si>
  <si>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</si>
  <si>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</si>
  <si>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</si>
  <si>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</si>
  <si>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</si>
  <si>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</si>
  <si>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</si>
  <si>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</si>
  <si>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</si>
  <si>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</si>
  <si>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</si>
  <si>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</si>
  <si>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</si>
  <si>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</si>
  <si>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</si>
  <si>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</si>
  <si>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</si>
  <si>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</si>
  <si>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</si>
  <si>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</si>
  <si>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</si>
  <si>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</si>
  <si>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</si>
  <si>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</si>
  <si>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</si>
  <si>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</si>
  <si>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</si>
  <si>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</si>
  <si>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</si>
  <si>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</si>
  <si>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</si>
  <si>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</si>
  <si>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</si>
  <si>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</si>
  <si>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</si>
  <si>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</si>
  <si>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</si>
  <si>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</si>
  <si>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</si>
  <si>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</si>
  <si>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</si>
  <si>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</si>
  <si>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</si>
  <si>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</si>
  <si>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</si>
  <si>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</si>
  <si>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</si>
  <si>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</si>
  <si>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</si>
  <si>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</si>
  <si>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</si>
  <si>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</si>
  <si>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</si>
  <si>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</si>
  <si>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</si>
  <si>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</si>
  <si>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</si>
  <si>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</si>
  <si>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</si>
  <si>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</si>
  <si>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</si>
  <si>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</si>
  <si>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</si>
  <si>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</si>
  <si>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</si>
  <si>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</si>
  <si>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</si>
  <si>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</si>
  <si>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</si>
  <si>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</si>
  <si>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</si>
  <si>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</si>
  <si>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</si>
  <si>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</si>
  <si>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</si>
  <si>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</si>
  <si>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</si>
  <si>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</si>
  <si>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</si>
  <si>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</si>
  <si>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</si>
  <si>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</si>
  <si>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</si>
  <si>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</si>
  <si>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</si>
  <si>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</si>
  <si>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</si>
  <si>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</si>
  <si>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</si>
  <si>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</si>
  <si>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</si>
  <si>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</si>
  <si>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</si>
  <si>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</si>
  <si>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</si>
  <si>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</si>
  <si>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</si>
  <si>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</si>
  <si>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</si>
  <si>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</si>
  <si>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</si>
  <si>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</si>
  <si>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</si>
  <si>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</si>
  <si>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</si>
  <si>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</si>
  <si>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</si>
  <si>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</si>
  <si>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</si>
  <si>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</si>
  <si>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</si>
  <si>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</si>
  <si>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</si>
  <si>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</si>
  <si>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</si>
  <si>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</si>
  <si>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</si>
  <si>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</si>
  <si>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</si>
  <si>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</si>
  <si>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</si>
  <si>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</si>
  <si>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</si>
  <si>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</si>
  <si>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</si>
  <si>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</si>
  <si>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</si>
  <si>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</si>
  <si>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</si>
  <si>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</si>
  <si>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</si>
  <si>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</si>
  <si>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</si>
  <si>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</si>
  <si>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</si>
  <si>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</si>
  <si>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</si>
  <si>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</si>
  <si>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</si>
  <si>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</si>
  <si>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</si>
  <si>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</si>
  <si>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</si>
  <si>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</si>
  <si>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</si>
  <si>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</si>
  <si>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</si>
  <si>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</si>
  <si>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</si>
  <si>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</si>
  <si>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</si>
  <si>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</si>
  <si>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</si>
  <si>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</si>
  <si>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</si>
  <si>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</si>
  <si>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</si>
  <si>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</si>
  <si>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</si>
  <si>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</si>
  <si>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</si>
  <si>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</si>
  <si>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</si>
  <si>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</si>
  <si>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</si>
  <si>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</si>
  <si>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</si>
  <si>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</si>
  <si>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</si>
  <si>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</si>
  <si>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</si>
  <si>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</si>
  <si>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</si>
  <si>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</si>
  <si>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</si>
  <si>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</si>
  <si>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</si>
  <si>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</si>
  <si>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</si>
  <si>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</si>
  <si>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</si>
  <si>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</si>
  <si>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</si>
  <si>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</si>
  <si>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</si>
  <si>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</si>
  <si>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</si>
  <si>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</si>
  <si>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</si>
  <si>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</si>
  <si>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</si>
  <si>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</si>
  <si>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</si>
  <si>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</si>
  <si>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</si>
  <si>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</si>
  <si>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</si>
  <si>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</si>
  <si>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</si>
  <si>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</si>
  <si>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</si>
  <si>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</si>
  <si>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</si>
  <si>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</si>
  <si>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</si>
  <si>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</si>
  <si>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</si>
  <si>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</si>
  <si>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</si>
  <si>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</si>
  <si>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</si>
  <si>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</si>
  <si>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</si>
  <si>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</si>
  <si>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</si>
  <si>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</si>
  <si>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</si>
  <si>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</si>
  <si>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</si>
  <si>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</si>
  <si>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</si>
  <si>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</si>
  <si>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</si>
  <si>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</si>
  <si>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</si>
  <si>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</si>
  <si>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</si>
  <si>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</si>
  <si>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</si>
  <si>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</si>
  <si>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</si>
  <si>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</si>
  <si>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</si>
  <si>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</si>
  <si>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</si>
  <si>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</si>
  <si>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</si>
  <si>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</si>
  <si>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</si>
  <si>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</si>
  <si>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</si>
  <si>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</si>
  <si>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</si>
  <si>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</si>
  <si>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</si>
  <si>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</si>
  <si>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</si>
  <si>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</si>
  <si>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</si>
  <si>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</si>
  <si>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</si>
  <si>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</si>
  <si>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</si>
  <si>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</si>
  <si>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</si>
  <si>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</si>
  <si>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</si>
  <si>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</si>
  <si>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</si>
  <si>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</si>
  <si>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</si>
  <si>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</si>
  <si>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</si>
  <si>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</si>
  <si>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</si>
  <si>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</si>
  <si>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</si>
  <si>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</si>
  <si>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</si>
  <si>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</si>
  <si>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</si>
  <si>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</si>
  <si>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</si>
  <si>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</si>
  <si>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</si>
  <si>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</si>
  <si>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</si>
  <si>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</si>
  <si>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</si>
  <si>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</si>
  <si>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</si>
  <si>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</si>
  <si>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</si>
  <si>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</si>
  <si>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</si>
  <si>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</si>
  <si>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</si>
  <si>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</si>
  <si>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</si>
  <si>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</si>
  <si>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</si>
  <si>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</si>
  <si>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</si>
  <si>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</si>
  <si>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</si>
  <si>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</si>
  <si>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</si>
  <si>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</si>
  <si>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</si>
  <si>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</si>
  <si>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</si>
  <si>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</si>
  <si>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</si>
  <si>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</si>
  <si>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</si>
  <si>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</si>
  <si>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</si>
  <si>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</si>
  <si>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</si>
  <si>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</si>
  <si>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</si>
  <si>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</si>
  <si>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</si>
  <si>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</si>
  <si>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</si>
  <si>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</si>
  <si>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</si>
  <si>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</si>
  <si>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</si>
  <si>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</si>
  <si>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</si>
  <si>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</si>
  <si>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</si>
  <si>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</si>
  <si>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</si>
  <si>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</si>
  <si>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</si>
  <si>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</si>
  <si>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</si>
  <si>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</si>
  <si>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</si>
  <si>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</si>
  <si>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</si>
  <si>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</si>
  <si>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</si>
  <si>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</si>
  <si>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</si>
  <si>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</si>
  <si>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</si>
  <si>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</si>
  <si>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</si>
  <si>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</si>
  <si>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</si>
  <si>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</si>
  <si>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</si>
  <si>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</si>
  <si>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</si>
  <si>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</si>
  <si>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</si>
  <si>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</si>
  <si>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</si>
  <si>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</si>
  <si>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</si>
  <si>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</si>
  <si>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</si>
  <si>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</si>
  <si>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</si>
  <si>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</si>
  <si>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</si>
  <si>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</si>
  <si>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</si>
  <si>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</si>
  <si>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</si>
  <si>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</si>
  <si>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</si>
  <si>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</si>
  <si>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</si>
  <si>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</si>
  <si>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</si>
  <si>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</si>
  <si>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</si>
  <si>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</si>
  <si>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</si>
  <si>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</si>
  <si>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</si>
  <si>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</si>
  <si>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</si>
  <si>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</si>
  <si>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</si>
  <si>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</si>
  <si>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</si>
  <si>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</si>
  <si>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</si>
  <si>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</si>
  <si>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</si>
  <si>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</si>
  <si>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</si>
  <si>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</si>
  <si>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</si>
  <si>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</si>
  <si>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</si>
  <si>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</si>
  <si>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</si>
  <si>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</si>
  <si>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</si>
  <si>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</si>
  <si>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</si>
  <si>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</si>
  <si>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</si>
  <si>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</si>
  <si>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</si>
  <si>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</si>
  <si>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</si>
  <si>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</si>
  <si>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</si>
  <si>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</si>
  <si>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</si>
  <si>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</si>
  <si>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</si>
  <si>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</si>
  <si>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</si>
  <si>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</si>
  <si>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</si>
  <si>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</si>
  <si>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</si>
  <si>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</si>
  <si>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</si>
  <si>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</si>
  <si>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</si>
  <si>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</si>
  <si>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</si>
  <si>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</si>
  <si>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</si>
  <si>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</si>
  <si>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</si>
  <si>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</si>
  <si>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</si>
  <si>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</si>
  <si>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</si>
  <si>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</si>
  <si>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</si>
  <si>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</si>
  <si>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</si>
  <si>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</si>
  <si>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</si>
  <si>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</si>
  <si>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</si>
  <si>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</si>
  <si>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</si>
  <si>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</si>
  <si>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</si>
  <si>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</si>
  <si>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</si>
  <si>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</si>
  <si>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</si>
  <si>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</si>
  <si>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</si>
  <si>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</si>
  <si>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</si>
  <si>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</si>
  <si>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</si>
  <si>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</si>
  <si>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</si>
  <si>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</si>
  <si>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</si>
  <si>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</si>
  <si>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</si>
  <si>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</si>
  <si>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</si>
  <si>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</si>
  <si>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</si>
  <si>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</si>
  <si>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</si>
  <si>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</si>
  <si>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</si>
  <si>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</si>
  <si>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</si>
  <si>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</si>
  <si>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</si>
  <si>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</si>
  <si>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</si>
  <si>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</si>
  <si>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</si>
  <si>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</si>
  <si>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</si>
  <si>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</si>
  <si>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</si>
  <si>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</si>
  <si>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</si>
  <si>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</si>
  <si>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</si>
  <si>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</si>
  <si>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</si>
  <si>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</si>
  <si>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</si>
  <si>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</si>
  <si>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</si>
  <si>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</si>
  <si>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</si>
  <si>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</si>
  <si>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</si>
  <si>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</si>
  <si>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</si>
  <si>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</si>
  <si>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</si>
  <si>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</si>
  <si>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</si>
  <si>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</si>
  <si>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</si>
  <si>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</si>
  <si>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</si>
  <si>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</si>
  <si>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</si>
  <si>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</si>
  <si>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</si>
  <si>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</si>
  <si>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</si>
  <si>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</si>
  <si>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</si>
  <si>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</si>
  <si>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</si>
  <si>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</si>
  <si>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</si>
  <si>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</si>
  <si>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</si>
  <si>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</si>
  <si>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</si>
  <si>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</si>
  <si>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</si>
  <si>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</si>
  <si>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</si>
  <si>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</si>
  <si>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</si>
  <si>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</si>
  <si>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</si>
  <si>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</si>
  <si>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</si>
  <si>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</si>
  <si>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</si>
  <si>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</si>
  <si>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</si>
  <si>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</si>
  <si>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</si>
  <si>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</si>
  <si>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</si>
  <si>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</si>
  <si>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</si>
  <si>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</si>
  <si>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</si>
  <si>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</si>
  <si>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</si>
  <si>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</si>
  <si>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</si>
  <si>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</si>
  <si>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</si>
  <si>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</si>
  <si>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</si>
  <si>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</si>
  <si>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</si>
  <si>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</si>
  <si>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</si>
  <si>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</si>
  <si>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</si>
  <si>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</si>
  <si>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</si>
  <si>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</si>
  <si>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</si>
  <si>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</si>
  <si>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</si>
  <si>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</si>
  <si>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</si>
  <si>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</si>
  <si>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</si>
  <si>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</si>
  <si>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</si>
  <si>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</si>
  <si>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</si>
  <si>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</si>
  <si>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</si>
  <si>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</si>
  <si>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</si>
  <si>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</si>
  <si>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</si>
  <si>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</si>
  <si>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</si>
  <si>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</si>
  <si>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</si>
  <si>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</si>
  <si>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</si>
  <si>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</si>
  <si>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</si>
  <si>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</si>
  <si>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</si>
  <si>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</si>
  <si>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</si>
  <si>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</si>
  <si>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</si>
  <si>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</si>
  <si>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</si>
  <si>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</si>
  <si>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</si>
  <si>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</si>
  <si>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</si>
  <si>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</si>
  <si>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</si>
  <si>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</si>
  <si>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</si>
  <si>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</si>
  <si>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</si>
  <si>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</si>
  <si>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</si>
  <si>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</si>
  <si>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</si>
  <si>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</si>
  <si>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</si>
  <si>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</si>
  <si>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</si>
  <si>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</si>
  <si>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</si>
  <si>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</si>
  <si>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</si>
  <si>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</si>
  <si>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</si>
  <si>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</si>
  <si>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</si>
  <si>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</si>
  <si>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</si>
  <si>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</si>
  <si>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</si>
  <si>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</si>
  <si>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</si>
  <si>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</si>
  <si>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</si>
  <si>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</si>
  <si>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</si>
  <si>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</si>
  <si>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</si>
  <si>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</si>
  <si>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</si>
  <si>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</si>
  <si>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</si>
  <si>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</si>
  <si>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</si>
  <si>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</si>
  <si>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</si>
  <si>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</si>
  <si>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</si>
  <si>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</si>
  <si>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</si>
  <si>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</si>
  <si>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</si>
  <si>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</si>
  <si>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</si>
  <si>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</si>
  <si>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</si>
  <si>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</si>
  <si>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</si>
  <si>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</si>
  <si>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</si>
  <si>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</si>
  <si>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</si>
  <si>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</si>
  <si>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</si>
  <si>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</si>
  <si>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</si>
  <si>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</si>
  <si>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</si>
  <si>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</si>
  <si>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</si>
  <si>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</si>
  <si>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</si>
  <si>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</si>
  <si>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</si>
  <si>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</si>
  <si>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</si>
  <si>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</si>
  <si>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</si>
  <si>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</si>
  <si>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</si>
  <si>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</si>
  <si>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</si>
  <si>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</si>
  <si>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</si>
  <si>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</si>
  <si>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</si>
  <si>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</si>
  <si>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</si>
  <si>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</si>
  <si>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</si>
  <si>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</si>
  <si>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</si>
  <si>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</si>
  <si>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</si>
  <si>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</si>
  <si>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</si>
  <si>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</si>
  <si>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</si>
  <si>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</si>
  <si>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</si>
  <si>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</si>
  <si>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</si>
  <si>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</si>
  <si>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</si>
  <si>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</si>
  <si>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</si>
  <si>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</si>
  <si>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</si>
  <si>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</si>
  <si>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</si>
  <si>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</si>
  <si>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</si>
  <si>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</si>
  <si>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</si>
  <si>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</si>
  <si>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</si>
  <si>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</si>
  <si>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</si>
  <si>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</si>
  <si>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</si>
  <si>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</si>
  <si>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</si>
  <si>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</si>
  <si>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</si>
  <si>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</si>
  <si>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</si>
  <si>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</si>
  <si>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</si>
  <si>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</si>
  <si>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</si>
  <si>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</si>
  <si>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</si>
  <si>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</si>
  <si>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</si>
  <si>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</si>
  <si>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</si>
  <si>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</si>
  <si>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</si>
  <si>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</si>
  <si>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</si>
  <si>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</si>
  <si>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</si>
  <si>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</si>
  <si>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</si>
  <si>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</si>
  <si>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</si>
  <si>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</si>
  <si>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</si>
  <si>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</si>
  <si>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</si>
  <si>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</si>
  <si>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</si>
  <si>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</si>
  <si>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</si>
  <si>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</si>
  <si>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</si>
  <si>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</si>
  <si>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</si>
  <si>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</si>
  <si>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</si>
  <si>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</si>
  <si>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</si>
  <si>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</si>
  <si>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</si>
  <si>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</si>
  <si>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</si>
  <si>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</si>
  <si>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</si>
  <si>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</si>
  <si>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</si>
  <si>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</si>
  <si>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</si>
  <si>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</si>
  <si>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</si>
  <si>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</si>
  <si>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</si>
  <si>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</si>
  <si>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</si>
  <si>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</si>
  <si>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</si>
  <si>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</si>
  <si>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</si>
  <si>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</si>
  <si>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</si>
  <si>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</si>
  <si>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</si>
  <si>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</si>
  <si>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</si>
  <si>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</si>
  <si>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</si>
  <si>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</si>
  <si>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</si>
  <si>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</si>
  <si>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</si>
  <si>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</si>
  <si>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</si>
  <si>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</si>
  <si>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</si>
  <si>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</si>
  <si>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</si>
  <si>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</si>
  <si>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</si>
  <si>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</si>
  <si>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</si>
  <si>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</si>
  <si>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</si>
  <si>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</si>
  <si>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</si>
  <si>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</si>
  <si>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</si>
  <si>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</si>
  <si>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</si>
  <si>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</si>
  <si>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</si>
  <si>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</si>
  <si>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</si>
  <si>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</si>
  <si>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</si>
  <si>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</si>
  <si>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</si>
  <si>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</si>
  <si>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</si>
  <si>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</si>
  <si>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</si>
  <si>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</si>
  <si>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</si>
  <si>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</si>
  <si>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</si>
  <si>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</si>
  <si>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</si>
  <si>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</si>
  <si>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</si>
  <si>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</si>
  <si>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</si>
  <si>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</si>
  <si>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</si>
  <si>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</si>
  <si>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</si>
  <si>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</si>
  <si>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</si>
  <si>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</si>
  <si>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</si>
  <si>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</si>
  <si>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</si>
  <si>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</si>
  <si>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</si>
  <si>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</si>
  <si>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</si>
  <si>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</si>
  <si>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</si>
  <si>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</si>
  <si>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</si>
  <si>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</si>
  <si>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</si>
  <si>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</si>
  <si>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</si>
  <si>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</si>
  <si>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</si>
  <si>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</si>
  <si>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</si>
  <si>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</si>
  <si>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</si>
  <si>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</si>
  <si>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</si>
  <si>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</si>
  <si>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</si>
  <si>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</si>
  <si>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</si>
  <si>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</si>
  <si>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</si>
  <si>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</si>
  <si>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</si>
  <si>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</si>
  <si>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</si>
  <si>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</si>
  <si>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</si>
  <si>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</si>
  <si>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</si>
  <si>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</si>
  <si>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</si>
  <si>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</si>
  <si>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</si>
  <si>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</si>
  <si>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</si>
  <si>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</si>
  <si>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</si>
  <si>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</si>
  <si>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</si>
  <si>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</si>
  <si>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</si>
  <si>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</si>
  <si>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</si>
  <si>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</si>
  <si>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</si>
  <si>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</si>
  <si>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</si>
  <si>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</si>
  <si>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</si>
  <si>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</si>
  <si>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</si>
  <si>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</si>
  <si>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</si>
  <si>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</si>
  <si>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</si>
  <si>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</si>
  <si>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</si>
  <si>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</si>
  <si>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</si>
  <si>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</si>
  <si>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</si>
  <si>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</si>
  <si>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</si>
  <si>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</si>
  <si>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</si>
  <si>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</si>
  <si>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</si>
  <si>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</si>
  <si>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</si>
  <si>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</si>
  <si>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</si>
  <si>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</si>
  <si>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</si>
  <si>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</si>
  <si>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</si>
  <si>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</si>
  <si>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</si>
  <si>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</si>
  <si>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</si>
  <si>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</si>
  <si>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</si>
  <si>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</si>
  <si>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</si>
  <si>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</si>
  <si>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</si>
  <si>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</si>
  <si>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</si>
  <si>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</si>
  <si>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</si>
  <si>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</si>
  <si>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</si>
  <si>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</si>
  <si>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</si>
  <si>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</si>
  <si>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</si>
  <si>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</si>
  <si>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</si>
  <si>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</si>
  <si>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</si>
  <si>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</si>
  <si>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</si>
  <si>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</si>
  <si>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</si>
  <si>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</si>
  <si>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</si>
  <si>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</si>
  <si>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</si>
  <si>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</si>
  <si>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</si>
  <si>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</si>
  <si>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</si>
  <si>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</si>
  <si>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</si>
  <si>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</si>
  <si>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</si>
  <si>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</si>
  <si>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</si>
  <si>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</si>
  <si>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</si>
  <si>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</si>
  <si>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</si>
  <si>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</si>
  <si>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</si>
  <si>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</si>
  <si>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</si>
  <si>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</si>
  <si>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</si>
  <si>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</si>
  <si>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</si>
  <si>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</si>
  <si>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</si>
  <si>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</si>
  <si>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</si>
  <si>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</si>
  <si>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</si>
  <si>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</si>
  <si>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</si>
  <si>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</si>
  <si>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</si>
  <si>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</si>
  <si>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</si>
  <si>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</si>
  <si>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</si>
  <si>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</si>
  <si>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</si>
  <si>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</si>
  <si>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</si>
  <si>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</si>
  <si>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</si>
  <si>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</si>
  <si>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</si>
  <si>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</si>
  <si>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</si>
  <si>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</si>
  <si>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</si>
  <si>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</si>
  <si>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</si>
  <si>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</si>
  <si>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</si>
  <si>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</si>
  <si>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</si>
  <si>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</si>
  <si>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</si>
  <si>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</si>
  <si>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</si>
  <si>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</si>
  <si>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</si>
  <si>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</si>
  <si>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</si>
  <si>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</si>
  <si>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</si>
  <si>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</si>
  <si>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</si>
  <si>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</si>
  <si>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</si>
  <si>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</si>
  <si>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</si>
  <si>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</si>
  <si>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</si>
  <si>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</si>
  <si>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</si>
  <si>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</si>
  <si>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</si>
  <si>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</si>
  <si>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</si>
  <si>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</si>
  <si>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</si>
  <si>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</si>
  <si>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</si>
  <si>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</si>
  <si>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</si>
  <si>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</si>
  <si>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</si>
  <si>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</si>
  <si>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</si>
  <si>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</si>
  <si>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</si>
  <si>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</si>
  <si>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</si>
  <si>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</si>
  <si>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</si>
  <si>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</si>
  <si>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</si>
  <si>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</si>
  <si>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</si>
  <si>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</si>
  <si>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</si>
  <si>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</si>
  <si>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</si>
  <si>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</si>
  <si>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</si>
  <si>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</si>
  <si>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</si>
  <si>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</si>
  <si>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</si>
  <si>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</si>
  <si>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</si>
  <si>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</si>
  <si>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</si>
  <si>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</si>
  <si>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</si>
  <si>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</si>
  <si>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</si>
  <si>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</si>
  <si>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</si>
  <si>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</si>
  <si>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</si>
  <si>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</si>
  <si>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</si>
  <si>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</si>
  <si>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</si>
  <si>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</si>
  <si>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</si>
  <si>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</si>
  <si>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</si>
  <si>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</si>
  <si>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</si>
  <si>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</si>
  <si>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</si>
  <si>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</si>
  <si>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</si>
  <si>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</si>
  <si>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</si>
  <si>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</si>
  <si>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</si>
  <si>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</si>
  <si>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</si>
  <si>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</si>
  <si>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</si>
  <si>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</si>
  <si>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</si>
  <si>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</si>
  <si>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</si>
  <si>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</si>
  <si>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</si>
  <si>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</si>
  <si>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</si>
  <si>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</si>
  <si>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</si>
  <si>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</si>
  <si>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</si>
  <si>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</si>
  <si>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</si>
  <si>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</si>
  <si>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</si>
  <si>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</si>
  <si>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</si>
  <si>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</si>
  <si>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</si>
  <si>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</si>
  <si>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</si>
  <si>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</si>
  <si>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</si>
  <si>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</si>
  <si>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</si>
  <si>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</si>
  <si>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</si>
  <si>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</si>
  <si>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</si>
  <si>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</si>
  <si>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</si>
  <si>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</si>
  <si>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</si>
  <si>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</si>
  <si>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</si>
  <si>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</si>
  <si>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</si>
  <si>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</si>
  <si>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</si>
  <si>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</si>
  <si>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</si>
  <si>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</si>
  <si>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</si>
  <si>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</si>
  <si>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</si>
  <si>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</si>
  <si>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</si>
  <si>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</si>
  <si>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</si>
  <si>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</si>
  <si>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</si>
  <si>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</si>
  <si>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</si>
  <si>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</si>
  <si>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</si>
  <si>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</si>
  <si>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</si>
  <si>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</si>
  <si>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</si>
  <si>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</si>
  <si>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</si>
  <si>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</si>
  <si>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</si>
  <si>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</si>
  <si>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</si>
  <si>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</si>
  <si>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</si>
  <si>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</si>
  <si>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</si>
  <si>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</si>
  <si>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</si>
  <si>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</si>
  <si>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</si>
  <si>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</si>
  <si>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</si>
  <si>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</si>
  <si>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</si>
  <si>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</si>
  <si>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</si>
  <si>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</si>
  <si>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</si>
  <si>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</si>
  <si>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</si>
  <si>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</si>
  <si>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</si>
  <si>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</si>
  <si>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</si>
  <si>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</si>
  <si>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</si>
  <si>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</si>
  <si>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</si>
  <si>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</si>
  <si>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</si>
  <si>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</si>
  <si>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</si>
  <si>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</si>
  <si>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</si>
  <si>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</si>
  <si>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</si>
  <si>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</si>
  <si>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</si>
  <si>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</si>
  <si>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</si>
  <si>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</si>
  <si>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</si>
  <si>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</si>
  <si>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</si>
  <si>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</si>
  <si>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</si>
  <si>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</si>
  <si>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</si>
  <si>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</si>
  <si>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</si>
  <si>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</si>
  <si>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</si>
  <si>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</si>
  <si>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</si>
  <si>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</si>
  <si>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</si>
  <si>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</si>
  <si>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</si>
  <si>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</si>
  <si>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</si>
  <si>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</si>
  <si>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</si>
  <si>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</si>
  <si>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</si>
  <si>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</si>
  <si>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</si>
  <si>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</si>
  <si>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</si>
  <si>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</si>
  <si>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</si>
  <si>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</si>
  <si>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</si>
  <si>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</si>
  <si>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</si>
  <si>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</si>
  <si>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</si>
  <si>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</si>
  <si>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</si>
  <si>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</si>
  <si>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</si>
  <si>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</si>
  <si>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</si>
  <si>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</si>
  <si>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</si>
  <si>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</si>
  <si>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</si>
  <si>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</si>
  <si>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</si>
  <si>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</si>
  <si>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</si>
  <si>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</si>
  <si>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</si>
  <si>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</si>
  <si>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</si>
  <si>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</si>
  <si>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</si>
  <si>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</si>
  <si>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</si>
  <si>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</si>
  <si>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</si>
  <si>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</si>
  <si>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</si>
  <si>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</si>
  <si>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</si>
  <si>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</si>
  <si>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</si>
  <si>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</si>
  <si>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</si>
  <si>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</si>
  <si>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</si>
  <si>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</si>
  <si>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</si>
  <si>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</si>
  <si>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</si>
  <si>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</si>
  <si>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</si>
  <si>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</si>
  <si>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</si>
  <si>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</si>
  <si>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</si>
  <si>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</si>
  <si>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</si>
  <si>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</si>
  <si>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</si>
  <si>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</si>
  <si>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</si>
  <si>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</si>
  <si>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</si>
  <si>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</si>
  <si>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</si>
  <si>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</si>
  <si>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</si>
  <si>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</si>
  <si>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</si>
  <si>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</si>
  <si>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</si>
  <si>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</si>
  <si>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</si>
  <si>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</si>
  <si>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</si>
  <si>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</si>
  <si>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</si>
  <si>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</si>
  <si>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</si>
  <si>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</si>
  <si>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</si>
  <si>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</si>
  <si>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</si>
  <si>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</si>
  <si>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</si>
  <si>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</si>
  <si>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</si>
  <si>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</si>
  <si>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</si>
  <si>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</si>
  <si>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</si>
  <si>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</si>
  <si>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</si>
  <si>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</si>
  <si>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</si>
  <si>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</si>
  <si>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</si>
  <si>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</si>
  <si>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</si>
  <si>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</si>
  <si>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</si>
  <si>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</si>
  <si>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</si>
  <si>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</si>
  <si>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</si>
  <si>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</si>
  <si>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</si>
  <si>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</si>
  <si>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</si>
  <si>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</si>
  <si>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</si>
  <si>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</si>
  <si>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</si>
  <si>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</si>
  <si>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</si>
  <si>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</si>
  <si>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</si>
  <si>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</si>
  <si>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</si>
  <si>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</si>
  <si>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</si>
  <si>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</si>
  <si>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</si>
  <si>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</si>
  <si>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</si>
  <si>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</si>
  <si>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</si>
  <si>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</si>
  <si>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</si>
  <si>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</si>
  <si>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</si>
  <si>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</si>
  <si>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</si>
  <si>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</si>
  <si>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</si>
  <si>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</si>
  <si>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</si>
  <si>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</si>
  <si>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</si>
  <si>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</si>
  <si>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</si>
  <si>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</si>
  <si>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</si>
  <si>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</si>
  <si>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</si>
  <si>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</si>
  <si>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</si>
  <si>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</si>
  <si>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</si>
  <si>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</si>
  <si>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</si>
  <si>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</si>
  <si>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</si>
  <si>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</si>
  <si>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</si>
  <si>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</si>
  <si>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</si>
  <si>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</si>
  <si>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</si>
  <si>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</si>
  <si>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</si>
  <si>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</si>
  <si>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</si>
  <si>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</si>
  <si>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</si>
  <si>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</si>
  <si>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</si>
  <si>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</si>
  <si>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</si>
  <si>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</si>
  <si>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</si>
  <si>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</si>
  <si>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</si>
  <si>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</si>
  <si>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</si>
  <si>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</si>
  <si>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</si>
  <si>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</si>
  <si>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</si>
  <si>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</si>
  <si>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</si>
  <si>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</si>
  <si>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</si>
  <si>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</si>
  <si>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</si>
  <si>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</si>
  <si>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</si>
  <si>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</si>
  <si>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</si>
  <si>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</si>
  <si>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</si>
  <si>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</si>
  <si>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</si>
  <si>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</si>
  <si>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</si>
  <si>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</si>
  <si>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</si>
  <si>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</si>
  <si>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</si>
  <si>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</si>
  <si>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</si>
  <si>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</si>
  <si>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</si>
  <si>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</si>
  <si>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</si>
  <si>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</si>
  <si>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</si>
  <si>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</si>
  <si>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</si>
  <si>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</si>
  <si>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</si>
  <si>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</si>
  <si>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</si>
  <si>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</si>
  <si>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</si>
  <si>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</si>
  <si>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</si>
  <si>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</si>
  <si>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</si>
  <si>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</si>
  <si>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</si>
  <si>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</si>
  <si>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</si>
  <si>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</si>
  <si>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</si>
  <si>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</si>
  <si>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</si>
  <si>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</si>
  <si>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</si>
  <si>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</si>
  <si>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</si>
  <si>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</si>
  <si>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</si>
  <si>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</si>
  <si>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</si>
  <si>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</si>
  <si>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</si>
  <si>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</si>
  <si>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</si>
  <si>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</si>
  <si>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</si>
  <si>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</si>
  <si>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</si>
  <si>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</si>
  <si>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</si>
  <si>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</si>
  <si>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</si>
  <si>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</si>
  <si>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</si>
  <si>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</si>
  <si>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</si>
  <si>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</si>
  <si>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</si>
  <si>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</si>
  <si>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</si>
  <si>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</si>
  <si>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</si>
  <si>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</si>
  <si>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</si>
  <si>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</si>
  <si>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</si>
  <si>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</si>
  <si>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</si>
  <si>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</si>
  <si>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</si>
  <si>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</si>
  <si>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</si>
  <si>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</si>
  <si>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</si>
  <si>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</si>
  <si>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</si>
  <si>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</si>
  <si>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</si>
  <si>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</si>
  <si>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</si>
  <si>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</si>
  <si>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</si>
  <si>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</si>
  <si>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</si>
  <si>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</si>
  <si>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</si>
  <si>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</si>
  <si>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</si>
  <si>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</si>
  <si>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</si>
  <si>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</si>
  <si>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</si>
  <si>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</si>
  <si>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</si>
  <si>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</si>
  <si>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</si>
  <si>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</si>
  <si>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</si>
  <si>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</si>
  <si>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</si>
  <si>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</si>
  <si>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</si>
  <si>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</si>
  <si>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</si>
  <si>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</si>
  <si>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</si>
  <si>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</si>
  <si>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</si>
  <si>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</si>
  <si>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</si>
  <si>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</si>
  <si>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</si>
  <si>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</si>
  <si>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</si>
  <si>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</si>
  <si>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</si>
  <si>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</si>
  <si>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</si>
  <si>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</si>
  <si>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</si>
  <si>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</si>
  <si>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</si>
  <si>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</si>
  <si>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</si>
  <si>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</si>
  <si>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</si>
  <si>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</si>
  <si>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</si>
  <si>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</si>
  <si>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</si>
  <si>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</si>
  <si>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</si>
  <si>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</si>
  <si>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</si>
  <si>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</si>
  <si>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</si>
  <si>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</si>
  <si>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</si>
  <si>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</si>
  <si>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</si>
  <si>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</si>
  <si>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</si>
  <si>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</si>
  <si>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</si>
  <si>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</si>
  <si>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</si>
  <si>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</si>
  <si>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</si>
  <si>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</si>
  <si>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</si>
  <si>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</si>
  <si>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</si>
  <si>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</si>
  <si>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</si>
  <si>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</si>
  <si>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</si>
  <si>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</si>
  <si>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</si>
  <si>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</si>
  <si>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</si>
  <si>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</si>
  <si>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</si>
  <si>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</si>
  <si>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</si>
  <si>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</si>
  <si>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</si>
  <si>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</si>
  <si>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</si>
  <si>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</si>
  <si>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</si>
  <si>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</si>
  <si>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</si>
  <si>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</si>
  <si>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</si>
  <si>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</si>
  <si>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</si>
  <si>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</si>
  <si>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</si>
  <si>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</si>
  <si>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</si>
  <si>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</si>
  <si>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</si>
  <si>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</si>
  <si>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</si>
  <si>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</si>
  <si>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</si>
  <si>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</si>
  <si>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</si>
  <si>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</si>
  <si>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</si>
  <si>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</si>
  <si>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</si>
  <si>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</si>
  <si>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</si>
  <si>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</si>
  <si>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</si>
  <si>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</si>
  <si>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</si>
  <si>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</si>
  <si>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</si>
  <si>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</si>
  <si>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</si>
  <si>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</si>
  <si>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</si>
  <si>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</si>
  <si>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</si>
  <si>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</si>
  <si>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</si>
  <si>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</si>
  <si>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</si>
  <si>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</si>
  <si>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</si>
  <si>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</si>
  <si>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</si>
  <si>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</si>
  <si>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</si>
  <si>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</si>
  <si>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</si>
  <si>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</si>
  <si>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</si>
  <si>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</si>
  <si>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</si>
  <si>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</si>
  <si>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</si>
  <si>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</si>
  <si>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</si>
  <si>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</si>
  <si>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</si>
  <si>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</si>
  <si>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</si>
  <si>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</si>
  <si>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</si>
  <si>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</si>
  <si>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</si>
  <si>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</si>
  <si>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</si>
  <si>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</si>
  <si>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</si>
  <si>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</si>
  <si>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</si>
  <si>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</si>
  <si>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</si>
  <si>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</si>
  <si>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</si>
  <si>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</si>
  <si>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</si>
  <si>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</si>
  <si>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</si>
  <si>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</si>
  <si>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</si>
  <si>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</si>
  <si>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</si>
  <si>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</si>
  <si>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</si>
  <si>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</si>
  <si>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</si>
  <si>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</si>
  <si>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</si>
  <si>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</si>
  <si>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</si>
  <si>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</si>
  <si>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</si>
  <si>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</si>
  <si>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</si>
  <si>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</si>
  <si>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</si>
  <si>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</si>
  <si>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</si>
  <si>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</si>
  <si>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</si>
  <si>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</si>
  <si>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</si>
  <si>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</si>
  <si>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</si>
  <si>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</si>
  <si>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</si>
  <si>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</si>
  <si>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</si>
  <si>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</si>
  <si>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</si>
  <si>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</si>
  <si>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</si>
  <si>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</si>
  <si>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</si>
  <si>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</si>
  <si>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</si>
  <si>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</si>
  <si>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</si>
  <si>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</si>
  <si>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</si>
  <si>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</si>
  <si>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</si>
  <si>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</si>
  <si>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</si>
  <si>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</si>
  <si>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</si>
  <si>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</si>
  <si>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</si>
  <si>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</si>
  <si>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</si>
  <si>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</si>
  <si>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</si>
  <si>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</si>
  <si>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</si>
  <si>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</si>
  <si>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</si>
  <si>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</si>
  <si>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</si>
  <si>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</si>
  <si>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</si>
  <si>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</si>
  <si>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</si>
  <si>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</si>
  <si>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</si>
  <si>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</si>
  <si>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</si>
  <si>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</si>
  <si>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</si>
  <si>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</si>
  <si>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</si>
  <si>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</si>
  <si>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</si>
  <si>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</si>
  <si>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</si>
  <si>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</si>
  <si>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</si>
  <si>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</si>
  <si>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</si>
  <si>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</si>
  <si>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</si>
  <si>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</si>
  <si>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</si>
  <si>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</si>
  <si>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</si>
  <si>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</si>
  <si>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</si>
  <si>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</si>
  <si>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</si>
  <si>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</si>
  <si>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</si>
  <si>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</si>
  <si>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</si>
  <si>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</si>
  <si>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</si>
  <si>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</si>
  <si>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</si>
  <si>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</si>
  <si>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</si>
  <si>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</si>
  <si>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</si>
  <si>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</si>
  <si>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</si>
  <si>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</si>
  <si>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</si>
  <si>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</si>
  <si>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</si>
  <si>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</si>
  <si>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</si>
  <si>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</si>
  <si>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</si>
  <si>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</si>
  <si>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</si>
  <si>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</si>
  <si>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</si>
  <si>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</si>
  <si>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</si>
  <si>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</si>
  <si>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</si>
  <si>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</si>
  <si>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</si>
  <si>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</si>
  <si>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</si>
  <si>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</si>
  <si>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</si>
  <si>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</si>
  <si>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</si>
  <si>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</si>
  <si>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</si>
  <si>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</si>
  <si>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</si>
  <si>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</si>
  <si>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</si>
  <si>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</si>
  <si>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</si>
  <si>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</si>
  <si>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</si>
  <si>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</si>
  <si>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</si>
  <si>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</si>
  <si>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</si>
  <si>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</si>
  <si>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</si>
  <si>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</si>
  <si>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</si>
  <si>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</si>
  <si>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</si>
  <si>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</si>
  <si>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</si>
  <si>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</si>
  <si>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</si>
  <si>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</si>
  <si>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</si>
  <si>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</si>
  <si>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</si>
  <si>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</si>
  <si>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</si>
  <si>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</si>
  <si>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</si>
  <si>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</si>
  <si>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</si>
  <si>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</si>
  <si>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</si>
  <si>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</si>
  <si>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</si>
  <si>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</si>
  <si>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</si>
  <si>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</si>
  <si>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</si>
  <si>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</si>
  <si>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</si>
  <si>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</si>
  <si>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</si>
  <si>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</si>
  <si>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</si>
  <si>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</si>
  <si>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</si>
  <si>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</si>
  <si>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</si>
  <si>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</si>
  <si>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</si>
  <si>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</si>
  <si>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</si>
  <si>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</si>
  <si>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</si>
  <si>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</si>
  <si>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</si>
  <si>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</si>
  <si>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</si>
  <si>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</si>
  <si>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</si>
  <si>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</si>
  <si>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</si>
  <si>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</si>
  <si>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</si>
  <si>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</si>
  <si>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</si>
  <si>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</si>
  <si>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</si>
  <si>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</si>
  <si>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</si>
  <si>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</si>
  <si>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</si>
  <si>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</si>
  <si>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</si>
  <si>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</si>
  <si>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</si>
  <si>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</si>
  <si>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</si>
  <si>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</si>
  <si>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</si>
  <si>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</si>
  <si>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</si>
  <si>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</si>
  <si>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</si>
  <si>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</si>
  <si>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</si>
  <si>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</si>
  <si>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</si>
  <si>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</si>
  <si>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</si>
  <si>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</si>
  <si>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</si>
  <si>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</si>
  <si>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</si>
  <si>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</si>
  <si>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</si>
  <si>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</si>
  <si>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</si>
  <si>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</si>
  <si>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</si>
  <si>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</si>
  <si>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</si>
  <si>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</si>
  <si>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</si>
  <si>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</si>
  <si>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</si>
  <si>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</si>
  <si>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</si>
  <si>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</si>
  <si>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</si>
  <si>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</si>
  <si>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</si>
  <si>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</si>
  <si>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</si>
  <si>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</si>
  <si>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</si>
  <si>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</si>
  <si>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</si>
  <si>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</si>
  <si>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</si>
  <si>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</si>
  <si>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</si>
  <si>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</si>
  <si>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</si>
  <si>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</si>
  <si>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</si>
  <si>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</si>
  <si>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</si>
  <si>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</si>
  <si>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</si>
  <si>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</si>
  <si>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</si>
  <si>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</si>
  <si>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</si>
  <si>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</si>
  <si>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</si>
  <si>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</si>
  <si>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</si>
  <si>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</si>
  <si>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</si>
  <si>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</si>
  <si>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</si>
  <si>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</si>
  <si>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</si>
  <si>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</si>
  <si>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</si>
  <si>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</si>
  <si>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</si>
  <si>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</si>
  <si>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</si>
  <si>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</si>
  <si>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</si>
  <si>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</si>
  <si>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</si>
  <si>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</si>
  <si>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</si>
  <si>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</si>
  <si>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</si>
  <si>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</si>
  <si>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</si>
  <si>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</si>
  <si>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</si>
  <si>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</si>
  <si>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</si>
  <si>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</si>
  <si>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</si>
  <si>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</si>
  <si>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</si>
  <si>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</si>
  <si>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</si>
  <si>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</si>
  <si>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</si>
  <si>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</si>
  <si>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</si>
  <si>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</si>
  <si>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</si>
  <si>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</si>
  <si>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</si>
  <si>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</si>
  <si>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</si>
  <si>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</si>
  <si>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</si>
  <si>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</si>
  <si>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</si>
  <si>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</si>
  <si>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</si>
  <si>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</si>
  <si>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</si>
  <si>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</si>
  <si>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</si>
  <si>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</si>
  <si>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</si>
  <si>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</si>
  <si>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</si>
  <si>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</si>
  <si>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</si>
  <si>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</si>
  <si>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</si>
  <si>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</si>
  <si>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</si>
  <si>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</si>
  <si>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</si>
  <si>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</si>
  <si>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</si>
  <si>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</si>
  <si>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</si>
  <si>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</si>
  <si>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</si>
  <si>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</si>
  <si>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</si>
  <si>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</si>
  <si>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</si>
  <si>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</si>
  <si>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</si>
  <si>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</si>
  <si>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</si>
  <si>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</si>
  <si>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</si>
  <si>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</si>
  <si>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</si>
  <si>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</si>
  <si>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</si>
  <si>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</si>
  <si>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</si>
  <si>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</si>
  <si>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</si>
  <si>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</si>
  <si>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</si>
  <si>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</si>
  <si>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</si>
  <si>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</si>
  <si>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</si>
  <si>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</si>
  <si>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</si>
  <si>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</si>
  <si>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</si>
  <si>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</si>
  <si>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</si>
  <si>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</si>
  <si>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</si>
  <si>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</si>
  <si>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</si>
  <si>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</si>
  <si>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</si>
  <si>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</si>
  <si>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</si>
  <si>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</si>
  <si>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</si>
  <si>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</si>
  <si>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</si>
  <si>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</si>
  <si>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</si>
  <si>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</si>
  <si>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</si>
  <si>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</si>
  <si>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</si>
  <si>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</si>
  <si>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</si>
  <si>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</si>
  <si>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</si>
  <si>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</si>
  <si>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</si>
  <si>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</si>
  <si>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</si>
  <si>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</si>
  <si>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</si>
  <si>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</si>
  <si>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</si>
  <si>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</si>
  <si>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</si>
  <si>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</si>
  <si>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</si>
  <si>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</si>
  <si>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</si>
  <si>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</si>
  <si>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</si>
  <si>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</si>
  <si>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</si>
  <si>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</si>
  <si>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</si>
  <si>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</si>
  <si>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</si>
  <si>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</si>
  <si>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</si>
  <si>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</si>
  <si>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</si>
  <si>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</si>
  <si>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</si>
  <si>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</si>
  <si>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</si>
  <si>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</si>
  <si>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</si>
  <si>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</si>
  <si>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</si>
  <si>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</si>
  <si>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</si>
  <si>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</si>
  <si>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</si>
  <si>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</si>
  <si>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</si>
  <si>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</si>
  <si>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</si>
  <si>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</si>
  <si>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</si>
  <si>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</si>
  <si>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</si>
  <si>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</si>
  <si>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</si>
  <si>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</si>
  <si>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</si>
  <si>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</si>
  <si>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</si>
  <si>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</si>
  <si>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</si>
  <si>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</si>
  <si>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</si>
  <si>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</si>
  <si>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</si>
  <si>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</si>
  <si>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</si>
  <si>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</si>
  <si>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</si>
  <si>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</si>
  <si>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</si>
  <si>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</si>
  <si>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</si>
  <si>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</si>
  <si>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</si>
  <si>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</si>
  <si>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</si>
  <si>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</si>
  <si>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</si>
  <si>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</si>
  <si>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</si>
  <si>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</si>
  <si>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</si>
  <si>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</si>
  <si>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</si>
  <si>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</si>
  <si>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</si>
  <si>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</si>
  <si>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</si>
  <si>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</si>
  <si>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</si>
  <si>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</si>
  <si>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</si>
  <si>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</si>
  <si>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</si>
  <si>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</si>
  <si>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</si>
  <si>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</si>
  <si>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</si>
  <si>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</si>
  <si>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</si>
  <si>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</si>
  <si>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</si>
  <si>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</si>
  <si>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</si>
  <si>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</si>
  <si>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</si>
  <si>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</si>
  <si>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</si>
  <si>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</si>
  <si>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</si>
  <si>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</si>
  <si>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</si>
  <si>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</si>
  <si>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</si>
  <si>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</si>
  <si>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</si>
  <si>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</si>
  <si>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</si>
  <si>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</si>
  <si>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</si>
  <si>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</si>
  <si>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</si>
  <si>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</si>
  <si>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</si>
  <si>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</si>
  <si>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</si>
  <si>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</si>
  <si>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</si>
  <si>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</si>
  <si>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</si>
  <si>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</si>
  <si>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</si>
  <si>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</si>
  <si>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</si>
  <si>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</si>
  <si>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</si>
  <si>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</si>
  <si>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</si>
  <si>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</si>
  <si>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</si>
  <si>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</si>
  <si>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</si>
  <si>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</si>
  <si>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</si>
  <si>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</si>
  <si>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</si>
  <si>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</si>
  <si>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</si>
  <si>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</si>
  <si>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</si>
  <si>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</si>
  <si>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</si>
  <si>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</si>
  <si>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</si>
  <si>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</si>
  <si>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</si>
  <si>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</si>
  <si>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</si>
  <si>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</si>
  <si>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</si>
  <si>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</si>
  <si>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</si>
  <si>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</si>
  <si>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</si>
  <si>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</si>
  <si>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</si>
  <si>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</si>
  <si>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</si>
  <si>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</si>
  <si>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</si>
  <si>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</si>
  <si>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</si>
  <si>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</si>
  <si>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</si>
  <si>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</si>
  <si>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</si>
  <si>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</si>
  <si>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</si>
  <si>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</si>
  <si>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</si>
  <si>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</si>
  <si>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</si>
  <si>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</si>
  <si>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</si>
  <si>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</si>
  <si>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</si>
  <si>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</si>
  <si>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</si>
  <si>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</si>
  <si>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</si>
  <si>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</si>
  <si>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</si>
  <si>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</si>
  <si>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</si>
  <si>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</si>
  <si>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</si>
  <si>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</si>
  <si>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</si>
  <si>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</si>
  <si>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</si>
  <si>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</si>
  <si>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</si>
  <si>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</si>
  <si>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</si>
  <si>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</si>
  <si>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</si>
  <si>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</si>
  <si>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</si>
  <si>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</si>
  <si>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</si>
  <si>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</si>
  <si>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</si>
  <si>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</si>
  <si>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</si>
  <si>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</si>
  <si>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</si>
  <si>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</si>
  <si>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</si>
  <si>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</si>
  <si>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</si>
  <si>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</si>
  <si>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</si>
  <si>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</si>
  <si>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</si>
  <si>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</si>
  <si>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</si>
  <si>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</si>
  <si>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</si>
  <si>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</si>
  <si>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</si>
  <si>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</si>
  <si>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</si>
  <si>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</si>
  <si>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</si>
  <si>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</si>
  <si>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</si>
  <si>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</si>
  <si>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</si>
  <si>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</si>
  <si>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</si>
  <si>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</si>
  <si>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</si>
  <si>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</si>
  <si>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</si>
  <si>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</si>
  <si>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</si>
  <si>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</si>
  <si>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</si>
  <si>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</si>
  <si>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</si>
  <si>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</si>
  <si>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</si>
  <si>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</si>
  <si>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</si>
  <si>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</si>
  <si>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</si>
  <si>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</si>
  <si>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</si>
  <si>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</si>
  <si>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</si>
  <si>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</si>
  <si>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</si>
  <si>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</si>
  <si>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</si>
  <si>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</si>
  <si>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</si>
  <si>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</si>
  <si>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</si>
  <si>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</si>
  <si>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</si>
  <si>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</si>
  <si>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</si>
  <si>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</si>
  <si>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</si>
  <si>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</si>
  <si>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</si>
  <si>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</si>
  <si>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</si>
  <si>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</si>
  <si>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</si>
  <si>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</si>
  <si>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</si>
  <si>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</si>
  <si>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</si>
  <si>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</si>
  <si>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</si>
  <si>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</si>
  <si>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</si>
  <si>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</si>
  <si>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</si>
  <si>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</si>
  <si>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</si>
  <si>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</si>
  <si>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</si>
  <si>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</si>
  <si>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</si>
  <si>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</si>
  <si>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</si>
  <si>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</si>
  <si>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</si>
  <si>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</si>
  <si>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</si>
  <si>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</si>
  <si>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</si>
  <si>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</si>
  <si>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</si>
  <si>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</si>
  <si>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</si>
  <si>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</si>
  <si>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</si>
  <si>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</si>
  <si>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</si>
  <si>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</si>
  <si>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</si>
  <si>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</si>
  <si>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</si>
  <si>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</si>
  <si>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</si>
  <si>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</si>
  <si>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</si>
  <si>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</si>
  <si>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</si>
  <si>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</si>
  <si>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</si>
  <si>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</si>
  <si>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</si>
  <si>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</si>
  <si>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</si>
  <si>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</si>
  <si>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</si>
  <si>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</si>
  <si>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</si>
  <si>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</si>
  <si>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</si>
  <si>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</si>
  <si>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</si>
  <si>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</si>
  <si>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</si>
  <si>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</si>
  <si>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</si>
  <si>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</si>
  <si>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</si>
  <si>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</si>
  <si>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</si>
  <si>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</si>
  <si>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</si>
  <si>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</si>
  <si>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</si>
  <si>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</si>
  <si>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</si>
  <si>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</si>
  <si>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</si>
  <si>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</si>
  <si>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</si>
  <si>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</si>
  <si>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</si>
  <si>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</si>
  <si>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</si>
  <si>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</si>
  <si>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</si>
  <si>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</si>
  <si>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</si>
  <si>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</si>
  <si>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</si>
  <si>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</si>
  <si>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</si>
  <si>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</si>
  <si>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</si>
  <si>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</si>
  <si>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</si>
  <si>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</si>
  <si>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</si>
  <si>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</si>
  <si>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</si>
  <si>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</si>
  <si>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</si>
  <si>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</si>
  <si>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</si>
  <si>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</si>
  <si>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</si>
  <si>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</si>
  <si>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</si>
  <si>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</si>
  <si>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</si>
  <si>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</si>
  <si>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</si>
  <si>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</si>
  <si>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</si>
  <si>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</si>
  <si>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</si>
  <si>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</si>
  <si>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</si>
  <si>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</si>
  <si>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</si>
  <si>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</si>
  <si>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</si>
  <si>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</si>
  <si>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</si>
  <si>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</si>
  <si>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</si>
  <si>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</si>
  <si>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</si>
  <si>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</si>
  <si>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</si>
  <si>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</si>
  <si>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</si>
  <si>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</si>
  <si>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</si>
  <si>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</si>
  <si>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</si>
  <si>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</si>
  <si>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</si>
  <si>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</si>
  <si>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</si>
  <si>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</si>
  <si>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</si>
  <si>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</si>
  <si>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</si>
  <si>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</si>
  <si>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</si>
  <si>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</si>
  <si>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</si>
  <si>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</si>
  <si>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</si>
  <si>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</si>
  <si>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</si>
  <si>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</si>
  <si>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</si>
  <si>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</si>
  <si>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</si>
  <si>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</si>
  <si>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</si>
  <si>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</si>
  <si>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</si>
  <si>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</si>
  <si>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</si>
  <si>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</si>
  <si>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</si>
  <si>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</si>
  <si>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</si>
  <si>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</si>
  <si>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</si>
  <si>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</si>
  <si>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</si>
  <si>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</si>
  <si>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</si>
  <si>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</si>
  <si>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</si>
  <si>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</si>
  <si>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</si>
  <si>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</si>
  <si>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</si>
  <si>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</si>
  <si>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</si>
  <si>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</si>
  <si>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</si>
  <si>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</si>
  <si>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</si>
  <si>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</si>
  <si>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</si>
  <si>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</si>
  <si>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</si>
  <si>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</si>
  <si>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</si>
  <si>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</si>
  <si>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</si>
  <si>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</si>
  <si>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</si>
  <si>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</si>
  <si>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</si>
  <si>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</si>
  <si>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</si>
  <si>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</si>
  <si>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</si>
  <si>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</si>
  <si>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</si>
  <si>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</si>
  <si>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</si>
  <si>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</si>
  <si>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</si>
  <si>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</si>
  <si>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</si>
  <si>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</si>
  <si>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</si>
  <si>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</si>
  <si>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</si>
  <si>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</si>
  <si>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</si>
  <si>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</si>
  <si>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</si>
  <si>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</si>
  <si>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</si>
  <si>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</si>
  <si>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</si>
  <si>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</si>
  <si>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</si>
  <si>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</si>
  <si>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</si>
  <si>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</si>
  <si>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</si>
  <si>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</si>
  <si>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</si>
  <si>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</si>
  <si>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</si>
  <si>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</si>
  <si>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</si>
  <si>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</si>
  <si>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</si>
  <si>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</si>
  <si>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</si>
  <si>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</si>
  <si>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</si>
  <si>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</si>
  <si>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</si>
  <si>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</si>
  <si>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</si>
  <si>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</si>
  <si>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</si>
  <si>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</si>
  <si>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</si>
  <si>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</si>
  <si>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</si>
  <si>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</si>
  <si>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</si>
  <si>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</si>
  <si>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</si>
  <si>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</si>
  <si>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</si>
  <si>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</si>
  <si>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</si>
  <si>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</si>
  <si>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</si>
  <si>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</si>
  <si>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</si>
  <si>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</si>
  <si>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</si>
  <si>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</si>
  <si>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</si>
  <si>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</si>
  <si>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</si>
  <si>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</si>
  <si>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</si>
  <si>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</si>
  <si>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</si>
  <si>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</si>
  <si>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</si>
  <si>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</si>
  <si>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</si>
  <si>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</si>
  <si>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</si>
  <si>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</si>
  <si>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</si>
  <si>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</si>
  <si>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</si>
  <si>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</si>
  <si>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</si>
  <si>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</si>
  <si>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</si>
  <si>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</si>
  <si>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</si>
  <si>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</si>
  <si>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</si>
  <si>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</si>
  <si>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</si>
  <si>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</si>
  <si>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</si>
  <si>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</si>
  <si>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</si>
  <si>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</si>
  <si>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</si>
  <si>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</si>
  <si>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</si>
  <si>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</si>
  <si>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</si>
  <si>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</si>
  <si>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</si>
  <si>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</si>
  <si>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</si>
  <si>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</si>
  <si>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</si>
  <si>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</si>
  <si>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</si>
  <si>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</si>
  <si>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</si>
  <si>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</si>
  <si>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</si>
  <si>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</si>
  <si>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</si>
  <si>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</si>
  <si>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</si>
  <si>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</si>
  <si>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</si>
  <si>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</si>
  <si>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</si>
  <si>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</si>
  <si>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</si>
  <si>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</si>
  <si>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</si>
  <si>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</si>
  <si>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</si>
  <si>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</si>
  <si>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</si>
  <si>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</si>
  <si>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</si>
  <si>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</si>
  <si>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</si>
  <si>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</si>
  <si>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</si>
  <si>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</si>
  <si>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</si>
  <si>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</si>
  <si>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</si>
  <si>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</si>
  <si>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</si>
  <si>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</si>
  <si>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</si>
  <si>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</si>
  <si>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</si>
  <si>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</si>
  <si>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</si>
  <si>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</si>
  <si>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</si>
  <si>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</si>
  <si>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</si>
  <si>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</si>
  <si>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</si>
  <si>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</si>
  <si>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</si>
  <si>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</si>
  <si>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</si>
  <si>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</si>
  <si>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</si>
  <si>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</si>
  <si>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</si>
  <si>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</si>
  <si>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</si>
  <si>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</si>
  <si>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</si>
  <si>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</si>
  <si>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</si>
  <si>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</si>
  <si>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</si>
  <si>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</si>
  <si>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</si>
  <si>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</si>
  <si>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</si>
  <si>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</si>
  <si>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</si>
  <si>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</si>
  <si>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</si>
  <si>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</si>
  <si>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</si>
  <si>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</si>
  <si>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</si>
  <si>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</si>
  <si>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</si>
  <si>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</si>
  <si>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</si>
  <si>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</si>
  <si>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</si>
  <si>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</si>
  <si>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</si>
  <si>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</si>
  <si>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</si>
  <si>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</si>
  <si>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</si>
  <si>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</si>
  <si>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</si>
  <si>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</si>
  <si>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</si>
  <si>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</si>
  <si>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</si>
  <si>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</si>
  <si>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</si>
  <si>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</si>
  <si>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</si>
  <si>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</si>
  <si>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</si>
  <si>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</si>
  <si>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</si>
  <si>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</si>
  <si>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</si>
  <si>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</si>
  <si>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</si>
  <si>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</si>
  <si>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</si>
  <si>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</si>
  <si>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</si>
  <si>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</si>
  <si>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</si>
  <si>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</si>
  <si>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</si>
  <si>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</si>
  <si>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</si>
  <si>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</si>
  <si>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</si>
  <si>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</si>
  <si>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</si>
  <si>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</si>
  <si>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</si>
  <si>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</si>
  <si>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</si>
  <si>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</si>
  <si>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</si>
  <si>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</si>
  <si>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</si>
  <si>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</si>
  <si>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</si>
  <si>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</si>
  <si>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</si>
  <si>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</si>
  <si>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</si>
  <si>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</si>
  <si>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</si>
  <si>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</si>
  <si>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</si>
  <si>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</si>
  <si>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</si>
  <si>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</si>
  <si>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</si>
  <si>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</si>
  <si>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</si>
  <si>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</si>
  <si>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</si>
  <si>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</si>
  <si>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</si>
  <si>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</si>
  <si>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</si>
  <si>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</si>
  <si>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</si>
  <si>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</si>
  <si>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</si>
  <si>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</si>
  <si>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</si>
  <si>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</si>
  <si>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</si>
  <si>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</si>
  <si>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</si>
  <si>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</si>
  <si>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</si>
  <si>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</si>
  <si>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</si>
  <si>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</si>
  <si>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</si>
  <si>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</si>
  <si>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</si>
  <si>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</si>
  <si>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</si>
  <si>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</si>
  <si>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</si>
  <si>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</si>
  <si>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</si>
  <si>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</si>
  <si>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</si>
  <si>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</si>
  <si>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</si>
  <si>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</si>
  <si>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</si>
  <si>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</si>
  <si>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</si>
  <si>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</si>
  <si>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</si>
  <si>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</si>
  <si>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</si>
  <si>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</si>
  <si>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</si>
  <si>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</si>
  <si>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</si>
  <si>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</si>
  <si>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</si>
  <si>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</si>
  <si>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</si>
  <si>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</si>
  <si>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</si>
  <si>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</si>
  <si>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</si>
  <si>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</si>
  <si>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</si>
  <si>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</si>
  <si>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</si>
  <si>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</si>
  <si>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</si>
  <si>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</si>
  <si>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</si>
  <si>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</si>
  <si>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</si>
  <si>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</si>
  <si>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</si>
  <si>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</si>
  <si>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</si>
  <si>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</si>
  <si>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</si>
  <si>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</si>
  <si>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</si>
  <si>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</si>
  <si>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</si>
  <si>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</si>
  <si>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</si>
  <si>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</si>
  <si>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</si>
  <si>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</si>
  <si>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</si>
  <si>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</si>
  <si>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</si>
  <si>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</si>
  <si>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</si>
  <si>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</si>
  <si>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</si>
  <si>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</si>
  <si>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</si>
  <si>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</si>
  <si>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</si>
  <si>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</si>
  <si>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</si>
  <si>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</si>
  <si>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</si>
  <si>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</si>
  <si>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</si>
  <si>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</si>
  <si>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</si>
  <si>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</si>
  <si>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</si>
  <si>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</si>
  <si>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</si>
  <si>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</si>
  <si>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</si>
  <si>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</si>
  <si>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</si>
  <si>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</si>
  <si>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</si>
  <si>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</si>
  <si>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</si>
  <si>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</si>
  <si>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</si>
  <si>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</si>
  <si>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</si>
  <si>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</si>
  <si>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</si>
  <si>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</si>
  <si>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</si>
  <si>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</si>
  <si>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</si>
  <si>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</si>
  <si>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</si>
  <si>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</si>
  <si>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</si>
  <si>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</si>
  <si>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</si>
  <si>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</si>
  <si>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</si>
  <si>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</si>
  <si>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</si>
  <si>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</si>
  <si>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</si>
  <si>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</si>
  <si>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</si>
  <si>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</si>
  <si>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</si>
  <si>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</si>
  <si>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</si>
  <si>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</si>
  <si>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</si>
  <si>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</si>
  <si>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</si>
  <si>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</si>
  <si>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</si>
  <si>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</si>
  <si>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</si>
  <si>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</si>
  <si>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</si>
  <si>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</si>
  <si>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</si>
  <si>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</si>
  <si>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</si>
  <si>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</si>
  <si>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</si>
  <si>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</si>
  <si>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</si>
  <si>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</si>
  <si>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</si>
  <si>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</si>
  <si>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</si>
  <si>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</si>
  <si>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</si>
  <si>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</si>
  <si>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</si>
  <si>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</si>
  <si>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</si>
  <si>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</si>
  <si>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</si>
  <si>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</si>
  <si>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</si>
  <si>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</si>
  <si>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</si>
  <si>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</si>
  <si>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</si>
  <si>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</si>
  <si>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</si>
  <si>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</si>
  <si>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</si>
  <si>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</si>
  <si>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</si>
  <si>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</si>
  <si>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</si>
  <si>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</si>
  <si>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</si>
  <si>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</si>
  <si>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</si>
  <si>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</si>
  <si>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</si>
  <si>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</si>
  <si>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</si>
  <si>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</si>
  <si>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</si>
  <si>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</si>
  <si>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</si>
  <si>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</si>
  <si>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</si>
  <si>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</si>
  <si>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</si>
  <si>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</si>
  <si>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</si>
  <si>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</si>
  <si>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</si>
  <si>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</si>
  <si>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</si>
  <si>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</si>
  <si>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</si>
  <si>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</si>
  <si>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</si>
  <si>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</si>
  <si>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</si>
  <si>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</si>
  <si>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</si>
  <si>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</si>
  <si>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</si>
  <si>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</si>
  <si>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</si>
  <si>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</si>
  <si>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</si>
  <si>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</si>
  <si>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</si>
  <si>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</si>
  <si>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</si>
  <si>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</si>
  <si>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</si>
  <si>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</si>
  <si>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</si>
  <si>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</si>
  <si>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</si>
  <si>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</si>
  <si>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</si>
  <si>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</si>
  <si>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</si>
  <si>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</si>
  <si>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</si>
  <si>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</si>
  <si>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</si>
  <si>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</si>
  <si>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</si>
  <si>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</si>
  <si>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</si>
  <si>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</si>
  <si>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</si>
  <si>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</si>
  <si>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</si>
  <si>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</si>
  <si>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</si>
  <si>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</si>
  <si>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</si>
  <si>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</si>
  <si>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</si>
  <si>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</si>
  <si>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</si>
  <si>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</si>
  <si>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</si>
  <si>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</si>
  <si>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</si>
  <si>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</si>
  <si>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</si>
  <si>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</si>
  <si>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</si>
  <si>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</si>
  <si>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</si>
  <si>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</si>
  <si>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</si>
  <si>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</si>
  <si>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</si>
  <si>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</si>
  <si>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</si>
  <si>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</si>
  <si>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</si>
  <si>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</si>
  <si>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</si>
  <si>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</si>
  <si>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</si>
  <si>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</si>
  <si>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</si>
  <si>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</si>
  <si>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</si>
  <si>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</si>
  <si>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</si>
  <si>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</si>
  <si>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</si>
  <si>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</si>
  <si>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</si>
  <si>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</si>
  <si>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</si>
  <si>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</si>
  <si>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</si>
  <si>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</si>
  <si>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</si>
  <si>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</si>
  <si>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</si>
  <si>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</si>
  <si>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</si>
  <si>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</si>
  <si>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</si>
  <si>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</si>
  <si>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</si>
  <si>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</si>
  <si>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</si>
  <si>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</si>
  <si>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</si>
  <si>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</si>
  <si>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</si>
  <si>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</si>
  <si>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</si>
  <si>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</si>
  <si>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</si>
  <si>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</si>
  <si>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</si>
  <si>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</si>
  <si>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</si>
  <si>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</si>
  <si>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</si>
  <si>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</si>
  <si>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</si>
  <si>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</si>
  <si>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</si>
  <si>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</si>
  <si>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</si>
  <si>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</si>
  <si>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</si>
  <si>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</si>
  <si>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</si>
  <si>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</si>
  <si>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</si>
  <si>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</si>
  <si>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</si>
  <si>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</si>
  <si>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</si>
  <si>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</si>
  <si>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</si>
  <si>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</si>
  <si>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</si>
  <si>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</si>
  <si>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</si>
  <si>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</si>
  <si>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</si>
  <si>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</si>
  <si>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</si>
  <si>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</si>
  <si>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</si>
  <si>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</si>
  <si>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</si>
  <si>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</si>
  <si>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</si>
  <si>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</si>
  <si>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</si>
  <si>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</si>
  <si>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</si>
  <si>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</si>
  <si>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</si>
  <si>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</si>
  <si>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</si>
  <si>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</si>
  <si>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</si>
  <si>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</si>
  <si>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</si>
  <si>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</si>
  <si>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</si>
  <si>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</si>
  <si>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</si>
  <si>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</si>
  <si>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</si>
  <si>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</si>
  <si>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</si>
  <si>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</si>
  <si>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</si>
  <si>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</si>
  <si>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</si>
  <si>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</si>
  <si>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</si>
  <si>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</si>
  <si>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</si>
  <si>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</si>
  <si>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</si>
  <si>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</si>
  <si>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</si>
  <si>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</si>
  <si>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</si>
  <si>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</si>
  <si>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</si>
  <si>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</si>
  <si>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</si>
  <si>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</si>
  <si>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</si>
  <si>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</si>
  <si>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</si>
  <si>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</si>
  <si>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</si>
  <si>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</si>
  <si>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</si>
  <si>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</si>
  <si>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</si>
  <si>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</si>
  <si>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</si>
  <si>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</si>
  <si>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</si>
  <si>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</si>
  <si>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</si>
  <si>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</si>
  <si>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</si>
  <si>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</si>
  <si>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</si>
  <si>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</si>
  <si>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</si>
  <si>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</si>
  <si>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</si>
  <si>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</si>
  <si>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</si>
  <si>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</si>
  <si>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</si>
  <si>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</si>
  <si>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</si>
  <si>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</si>
  <si>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</si>
  <si>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</si>
  <si>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</si>
  <si>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</si>
  <si>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</si>
  <si>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</si>
  <si>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</si>
  <si>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</si>
  <si>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</si>
  <si>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</si>
  <si>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</si>
  <si>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</si>
  <si>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</si>
  <si>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</si>
  <si>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</si>
  <si>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</si>
  <si>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</si>
  <si>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</si>
  <si>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</si>
  <si>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</si>
  <si>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</si>
  <si>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</si>
  <si>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</si>
  <si>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</si>
  <si>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</si>
  <si>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</si>
  <si>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</si>
  <si>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</si>
  <si>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</si>
  <si>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</si>
  <si>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</si>
  <si>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</si>
  <si>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</si>
  <si>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</si>
  <si>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</si>
  <si>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</si>
  <si>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</si>
  <si>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</si>
  <si>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</si>
  <si>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</si>
  <si>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</si>
  <si>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</si>
  <si>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</si>
  <si>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</si>
  <si>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</si>
  <si>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</si>
  <si>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</si>
  <si>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</si>
  <si>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</si>
  <si>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</si>
  <si>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</si>
  <si>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</si>
  <si>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</si>
  <si>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</si>
  <si>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</si>
  <si>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</si>
  <si>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</si>
  <si>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</si>
  <si>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</si>
  <si>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</si>
  <si>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</si>
  <si>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</si>
  <si>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</si>
  <si>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</si>
  <si>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</si>
  <si>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</si>
  <si>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</si>
  <si>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</si>
  <si>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</si>
  <si>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</si>
  <si>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</si>
  <si>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</si>
  <si>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</si>
  <si>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</si>
  <si>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</si>
  <si>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</si>
  <si>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</si>
  <si>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</si>
  <si>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</si>
  <si>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</si>
  <si>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</si>
  <si>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</si>
  <si>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</si>
  <si>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</si>
  <si>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</si>
  <si>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</si>
  <si>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</si>
  <si>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</si>
  <si>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</si>
  <si>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</si>
  <si>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</si>
  <si>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</si>
  <si>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</si>
  <si>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</si>
  <si>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</si>
  <si>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</si>
  <si>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</si>
  <si>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</si>
  <si>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</si>
  <si>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</si>
  <si>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</si>
  <si>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</si>
  <si>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</si>
  <si>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</si>
  <si>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</si>
  <si>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</si>
  <si>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</si>
  <si>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</si>
  <si>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</si>
  <si>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</si>
  <si>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</si>
  <si>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</si>
  <si>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</si>
  <si>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</si>
  <si>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</si>
  <si>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</si>
  <si>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</si>
  <si>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</si>
  <si>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</si>
  <si>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</si>
  <si>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</si>
  <si>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</si>
  <si>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</si>
  <si>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</si>
  <si>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</si>
  <si>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</si>
  <si>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</si>
  <si>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</si>
  <si>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</si>
  <si>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</si>
  <si>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</si>
  <si>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</si>
  <si>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</si>
  <si>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</si>
  <si>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</si>
  <si>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</si>
  <si>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</si>
  <si>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</si>
  <si>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</si>
  <si>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</si>
  <si>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</si>
  <si>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</si>
  <si>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</si>
  <si>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</si>
  <si>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</si>
  <si>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</si>
  <si>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</si>
  <si>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</si>
  <si>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</si>
  <si>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</si>
  <si>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</si>
  <si>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</si>
  <si>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</si>
  <si>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</si>
  <si>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</si>
  <si>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</si>
  <si>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</si>
  <si>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</si>
  <si>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</si>
  <si>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</si>
  <si>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</si>
  <si>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</si>
  <si>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</si>
  <si>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</si>
  <si>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</si>
  <si>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</si>
  <si>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</si>
  <si>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</si>
  <si>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</si>
  <si>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</si>
  <si>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</si>
  <si>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</si>
  <si>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</si>
  <si>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</si>
  <si>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</si>
  <si>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</si>
  <si>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</si>
  <si>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</si>
  <si>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</si>
  <si>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</si>
  <si>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</si>
  <si>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</si>
  <si>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</si>
  <si>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</si>
  <si>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</si>
  <si>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</si>
  <si>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</si>
  <si>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</si>
  <si>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</si>
  <si>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</si>
  <si>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</si>
  <si>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</si>
  <si>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</si>
  <si>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</si>
  <si>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</si>
  <si>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</si>
  <si>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</si>
  <si>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</si>
  <si>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</si>
  <si>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</si>
  <si>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</si>
  <si>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</si>
  <si>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</si>
  <si>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</si>
  <si>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</si>
  <si>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</si>
  <si>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</si>
  <si>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</si>
  <si>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</si>
  <si>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</si>
  <si>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</si>
  <si>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</si>
  <si>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</si>
  <si>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</si>
  <si>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</si>
  <si>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</si>
  <si>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</si>
  <si>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</si>
  <si>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</si>
  <si>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</si>
  <si>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</si>
  <si>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</si>
  <si>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</si>
  <si>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</si>
  <si>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</si>
  <si>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</si>
  <si>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</si>
  <si>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</si>
  <si>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</si>
  <si>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</si>
  <si>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</si>
  <si>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</si>
  <si>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</si>
  <si>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</si>
  <si>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</si>
  <si>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</si>
  <si>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</si>
  <si>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</si>
  <si>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</si>
  <si>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</si>
  <si>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</si>
  <si>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</si>
  <si>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</si>
  <si>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</si>
  <si>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</si>
  <si>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</si>
  <si>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</si>
  <si>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</si>
  <si>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</si>
  <si>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</si>
  <si>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</si>
  <si>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</si>
  <si>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</si>
  <si>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</si>
  <si>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</si>
  <si>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</si>
  <si>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</si>
  <si>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</si>
  <si>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</si>
  <si>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</si>
  <si>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</si>
  <si>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</si>
  <si>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</si>
  <si>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</si>
  <si>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</si>
  <si>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</si>
  <si>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</si>
  <si>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</si>
  <si>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</si>
  <si>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</si>
  <si>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</si>
  <si>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</si>
  <si>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</si>
  <si>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</si>
  <si>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</si>
  <si>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</si>
  <si>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</si>
  <si>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</si>
  <si>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</si>
  <si>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</si>
  <si>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</si>
  <si>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</si>
  <si>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</si>
  <si>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</si>
  <si>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</si>
  <si>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</si>
  <si>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</si>
  <si>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</si>
  <si>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</si>
  <si>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</si>
  <si>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</si>
  <si>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</si>
  <si>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</si>
  <si>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</si>
  <si>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</si>
  <si>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</si>
  <si>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</si>
  <si>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</si>
  <si>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</si>
  <si>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</si>
  <si>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</si>
  <si>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</si>
  <si>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</si>
  <si>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</si>
  <si>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</si>
  <si>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</si>
  <si>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</si>
  <si>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</si>
  <si>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</si>
  <si>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</si>
  <si>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</si>
  <si>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</si>
  <si>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</si>
  <si>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</si>
  <si>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</si>
  <si>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</si>
  <si>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</si>
  <si>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</si>
  <si>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</si>
  <si>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</si>
  <si>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</si>
  <si>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</si>
  <si>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</si>
  <si>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</si>
  <si>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</si>
  <si>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</si>
  <si>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</si>
  <si>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</si>
  <si>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</si>
  <si>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</si>
  <si>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</si>
  <si>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</si>
  <si>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</si>
  <si>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</si>
  <si>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</si>
  <si>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</si>
  <si>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</si>
  <si>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</si>
  <si>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</si>
  <si>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</si>
  <si>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</si>
  <si>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</si>
  <si>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</si>
  <si>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</si>
  <si>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</si>
  <si>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</si>
  <si>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</si>
  <si>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</si>
  <si>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</si>
  <si>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</si>
  <si>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</si>
  <si>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</si>
  <si>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</si>
  <si>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</si>
  <si>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</si>
  <si>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</si>
  <si>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</si>
  <si>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</si>
  <si>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</si>
  <si>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</si>
  <si>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</si>
  <si>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</si>
  <si>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</si>
  <si>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</si>
  <si>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</si>
  <si>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</si>
  <si>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</si>
  <si>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</si>
  <si>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</si>
  <si>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</si>
  <si>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</si>
  <si>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</si>
  <si>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</si>
  <si>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</si>
  <si>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</si>
  <si>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</si>
  <si>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</si>
  <si>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</si>
  <si>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</si>
  <si>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</si>
  <si>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</si>
  <si>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</si>
  <si>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</si>
  <si>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</si>
  <si>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</si>
  <si>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</si>
  <si>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</si>
  <si>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</si>
  <si>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</si>
  <si>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</si>
  <si>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</si>
  <si>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</si>
  <si>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</si>
  <si>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</si>
  <si>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</si>
  <si>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</si>
  <si>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</si>
  <si>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</si>
  <si>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</si>
  <si>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</si>
  <si>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</si>
  <si>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</si>
  <si>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</si>
  <si>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</si>
  <si>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</si>
  <si>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</si>
  <si>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</si>
  <si>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</si>
  <si>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</si>
  <si>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</si>
  <si>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</si>
  <si>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</si>
  <si>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</si>
  <si>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</si>
  <si>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</si>
  <si>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</si>
  <si>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</si>
  <si>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</si>
  <si>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</si>
  <si>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</si>
  <si>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</si>
  <si>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</si>
  <si>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</si>
  <si>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</si>
  <si>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</si>
  <si>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</si>
  <si>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</si>
  <si>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</si>
  <si>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</si>
  <si>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</si>
  <si>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</si>
  <si>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</si>
  <si>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</si>
  <si>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</si>
  <si>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</si>
  <si>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</si>
  <si>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</si>
  <si>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</si>
  <si>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</si>
  <si>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</si>
  <si>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</si>
  <si>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</si>
  <si>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</si>
  <si>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</si>
  <si>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</si>
  <si>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</si>
  <si>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</si>
  <si>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</si>
  <si>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</si>
  <si>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</si>
  <si>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</si>
  <si>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</si>
  <si>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</si>
  <si>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</si>
  <si>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</si>
  <si>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</si>
  <si>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</si>
  <si>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</si>
  <si>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</si>
  <si>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</si>
  <si>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</si>
  <si>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</si>
  <si>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</si>
  <si>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</si>
  <si>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</si>
  <si>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</si>
  <si>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</si>
  <si>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</si>
  <si>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</si>
  <si>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</si>
  <si>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</si>
  <si>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</si>
  <si>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</si>
  <si>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</si>
  <si>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</si>
  <si>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</si>
  <si>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</si>
  <si>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</si>
  <si>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</si>
  <si>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</si>
  <si>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</si>
  <si>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</si>
  <si>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</si>
  <si>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</si>
  <si>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</si>
  <si>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</si>
  <si>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</si>
  <si>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</si>
  <si>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</si>
  <si>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</si>
  <si>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</si>
  <si>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</si>
  <si>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</si>
  <si>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</si>
  <si>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</si>
  <si>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</si>
  <si>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</si>
  <si>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</si>
  <si>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</si>
  <si>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</si>
  <si>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</si>
  <si>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</si>
  <si>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</si>
  <si>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</si>
  <si>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</si>
  <si>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</si>
  <si>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</si>
  <si>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</si>
  <si>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</si>
  <si>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</si>
  <si>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</si>
  <si>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</si>
  <si>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</si>
  <si>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</si>
  <si>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</si>
  <si>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</si>
  <si>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</si>
  <si>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</si>
  <si>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</si>
  <si>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</si>
  <si>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</si>
  <si>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</si>
  <si>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</si>
  <si>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</si>
  <si>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</si>
  <si>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</si>
  <si>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</si>
  <si>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</si>
  <si>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</si>
  <si>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</si>
  <si>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</si>
  <si>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</si>
  <si>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</si>
  <si>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</si>
  <si>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</si>
  <si>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</si>
  <si>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</si>
  <si>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</si>
  <si>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</si>
  <si>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</si>
  <si>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</si>
  <si>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</si>
  <si>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</si>
  <si>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</si>
  <si>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</si>
  <si>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</si>
  <si>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</si>
  <si>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</si>
  <si>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</si>
  <si>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</si>
  <si>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</si>
  <si>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</si>
  <si>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</si>
  <si>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</si>
  <si>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</si>
  <si>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</si>
  <si>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</si>
  <si>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</si>
  <si>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</si>
  <si>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</si>
  <si>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</si>
  <si>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</si>
  <si>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</si>
  <si>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</si>
  <si>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</si>
  <si>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</si>
  <si>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</si>
  <si>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</si>
  <si>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</si>
  <si>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</si>
  <si>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</si>
  <si>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</si>
  <si>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</si>
  <si>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</si>
  <si>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</si>
  <si>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</si>
  <si>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</si>
  <si>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</si>
  <si>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</si>
  <si>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</si>
  <si>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</si>
  <si>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</si>
  <si>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</si>
  <si>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</si>
  <si>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</si>
  <si>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</si>
  <si>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</si>
  <si>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</si>
  <si>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</si>
  <si>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</si>
  <si>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</si>
  <si>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</si>
  <si>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</si>
  <si>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</si>
  <si>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</si>
  <si>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</si>
  <si>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</si>
  <si>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</si>
  <si>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</si>
  <si>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</si>
  <si>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</si>
  <si>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</si>
  <si>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</si>
  <si>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</si>
  <si>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</si>
  <si>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</si>
  <si>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</si>
  <si>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</si>
  <si>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</si>
  <si>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</si>
  <si>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</si>
  <si>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</si>
  <si>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</si>
  <si>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</si>
  <si>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</si>
  <si>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</si>
  <si>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</si>
  <si>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</si>
  <si>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</si>
  <si>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</si>
  <si>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</si>
  <si>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</si>
  <si>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</si>
  <si>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</si>
  <si>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</si>
  <si>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</si>
  <si>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</si>
  <si>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</si>
  <si>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</si>
  <si>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</si>
  <si>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</si>
  <si>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</si>
  <si>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</si>
  <si>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</si>
  <si>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</si>
  <si>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</si>
  <si>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</si>
  <si>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</si>
  <si>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</si>
  <si>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</si>
  <si>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</si>
  <si>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</si>
  <si>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</si>
  <si>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</si>
  <si>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</si>
  <si>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</si>
  <si>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</si>
  <si>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</si>
  <si>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</si>
  <si>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</si>
  <si>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</si>
  <si>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</si>
  <si>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</si>
  <si>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</si>
  <si>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</si>
  <si>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</si>
  <si>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</si>
  <si>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</si>
  <si>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</si>
  <si>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</si>
  <si>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</si>
  <si>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</si>
  <si>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</si>
  <si>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</si>
  <si>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</si>
  <si>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</si>
  <si>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</si>
  <si>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</si>
  <si>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</si>
  <si>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</si>
  <si>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</si>
  <si>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</si>
  <si>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</si>
  <si>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</si>
  <si>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</si>
  <si>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</si>
  <si>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</si>
  <si>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</si>
  <si>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</si>
  <si>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</si>
  <si>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</si>
  <si>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</si>
  <si>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</si>
  <si>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</si>
  <si>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</si>
  <si>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</si>
  <si>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</si>
  <si>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</si>
  <si>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</si>
  <si>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</si>
  <si>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</si>
  <si>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</si>
  <si>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</si>
  <si>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</si>
  <si>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</si>
  <si>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</si>
  <si>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</si>
  <si>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</si>
  <si>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</si>
  <si>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</si>
  <si>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</si>
  <si>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</si>
  <si>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</si>
  <si>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</si>
  <si>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</si>
  <si>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</si>
  <si>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</si>
  <si>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</si>
  <si>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</si>
  <si>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</si>
  <si>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</si>
  <si>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</si>
  <si>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</si>
  <si>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</si>
  <si>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</si>
  <si>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</si>
  <si>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</si>
  <si>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</si>
  <si>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</si>
  <si>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</si>
  <si>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</si>
  <si>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</si>
  <si>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</si>
  <si>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</si>
  <si>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</si>
  <si>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</si>
  <si>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</si>
  <si>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</si>
  <si>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</si>
  <si>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</si>
  <si>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</si>
  <si>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</si>
  <si>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</si>
  <si>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</si>
  <si>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</si>
  <si>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</si>
  <si>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</si>
  <si>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</si>
  <si>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</si>
  <si>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</si>
  <si>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</si>
  <si>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</si>
  <si>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</si>
  <si>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</si>
  <si>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</si>
  <si>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</si>
  <si>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</si>
  <si>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</si>
  <si>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</si>
  <si>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</si>
  <si>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</si>
  <si>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</si>
  <si>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</si>
  <si>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</si>
  <si>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</si>
  <si>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</si>
  <si>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</si>
  <si>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</si>
  <si>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</si>
  <si>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</si>
  <si>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</si>
  <si>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</si>
  <si>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</si>
  <si>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</si>
  <si>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</si>
  <si>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</si>
  <si>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</si>
  <si>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</si>
  <si>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</si>
  <si>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</si>
  <si>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</si>
  <si>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</si>
  <si>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</si>
  <si>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</si>
  <si>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</si>
  <si>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</si>
  <si>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</si>
  <si>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</si>
  <si>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</si>
  <si>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</si>
  <si>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</si>
  <si>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</si>
  <si>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</si>
  <si>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</si>
  <si>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</si>
  <si>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</si>
  <si>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</si>
  <si>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</si>
  <si>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</si>
  <si>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</si>
  <si>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</si>
  <si>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</si>
  <si>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</si>
  <si>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</si>
  <si>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</si>
  <si>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</si>
  <si>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</si>
  <si>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</si>
  <si>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</si>
  <si>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</si>
  <si>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</si>
  <si>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</si>
  <si>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</si>
  <si>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</si>
  <si>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</si>
  <si>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</si>
  <si>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</si>
  <si>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</si>
  <si>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</si>
  <si>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</si>
  <si>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</si>
  <si>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</si>
  <si>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</si>
  <si>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</si>
  <si>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</si>
  <si>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</si>
  <si>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</si>
  <si>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</si>
  <si>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</si>
  <si>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</si>
  <si>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</si>
  <si>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</si>
  <si>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</si>
  <si>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</si>
  <si>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</si>
  <si>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</si>
  <si>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</si>
  <si>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</si>
  <si>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</si>
  <si>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</si>
  <si>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</si>
  <si>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</si>
  <si>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</si>
  <si>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</si>
  <si>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</si>
  <si>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</si>
  <si>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</si>
  <si>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</si>
  <si>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</si>
  <si>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</si>
  <si>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</si>
  <si>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</si>
  <si>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</si>
  <si>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</si>
  <si>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</si>
  <si>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</si>
  <si>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</si>
  <si>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</si>
  <si>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</si>
  <si>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</si>
  <si>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</si>
  <si>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</si>
  <si>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</si>
  <si>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</si>
  <si>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</si>
  <si>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</si>
  <si>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</si>
  <si>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</si>
  <si>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</si>
  <si>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</si>
  <si>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</si>
  <si>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</si>
  <si>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</si>
  <si>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</si>
  <si>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</si>
  <si>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</si>
  <si>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</si>
  <si>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</si>
  <si>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</si>
  <si>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</si>
  <si>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</si>
  <si>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</si>
  <si>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</si>
  <si>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</si>
  <si>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</si>
  <si>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</si>
  <si>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</si>
  <si>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</si>
  <si>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</si>
  <si>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</si>
  <si>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</si>
  <si>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</si>
  <si>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</si>
  <si>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</si>
  <si>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</si>
  <si>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</si>
  <si>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</si>
  <si>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</si>
  <si>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</si>
  <si>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</si>
  <si>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</si>
  <si>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</si>
  <si>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</si>
  <si>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</si>
  <si>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</si>
  <si>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</si>
  <si>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</si>
  <si>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</si>
  <si>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</si>
  <si>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</si>
  <si>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</si>
  <si>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</si>
  <si>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</si>
  <si>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</si>
  <si>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</si>
  <si>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</si>
  <si>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</si>
  <si>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</si>
  <si>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</si>
  <si>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</si>
  <si>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</si>
  <si>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</si>
  <si>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</si>
  <si>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</si>
  <si>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</si>
  <si>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</si>
  <si>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</si>
  <si>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</si>
  <si>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</si>
  <si>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</si>
  <si>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</si>
  <si>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</si>
  <si>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</si>
  <si>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</si>
  <si>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</si>
  <si>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</si>
  <si>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</si>
  <si>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</si>
  <si>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</si>
  <si>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</si>
  <si>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</si>
  <si>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</si>
  <si>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</si>
  <si>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</si>
  <si>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</si>
  <si>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</si>
  <si>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</si>
  <si>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</si>
  <si>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</si>
  <si>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</si>
  <si>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</si>
  <si>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</si>
  <si>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</si>
  <si>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</si>
  <si>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</si>
  <si>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</si>
  <si>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</si>
  <si>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</si>
  <si>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</si>
  <si>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</si>
  <si>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</si>
  <si>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</si>
  <si>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</si>
  <si>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</si>
  <si>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</si>
  <si>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</si>
  <si>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</si>
  <si>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</si>
  <si>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</si>
  <si>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</si>
  <si>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</si>
  <si>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</si>
  <si>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</si>
  <si>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</si>
  <si>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</si>
  <si>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</si>
  <si>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</si>
  <si>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</si>
  <si>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</si>
  <si>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</si>
  <si>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</si>
  <si>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</si>
  <si>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</si>
  <si>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</si>
  <si>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</si>
  <si>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</si>
  <si>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</si>
  <si>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</si>
  <si>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</si>
  <si>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</si>
  <si>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</si>
  <si>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</si>
  <si>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</si>
  <si>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</si>
  <si>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</si>
  <si>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</si>
  <si>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</si>
  <si>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</si>
  <si>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</si>
  <si>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</si>
  <si>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</si>
  <si>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</si>
  <si>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</si>
  <si>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</si>
  <si>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</si>
  <si>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</si>
  <si>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</si>
  <si>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</si>
  <si>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</si>
  <si>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</si>
  <si>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</si>
  <si>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</si>
  <si>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</si>
  <si>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</si>
  <si>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</si>
  <si>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</si>
  <si>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</si>
  <si>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</si>
  <si>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</si>
  <si>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</si>
  <si>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</si>
  <si>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</si>
  <si>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</si>
  <si>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</si>
  <si>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</si>
  <si>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</si>
  <si>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</si>
  <si>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</si>
  <si>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</si>
  <si>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</si>
  <si>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</si>
  <si>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</si>
  <si>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</si>
  <si>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</si>
  <si>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</si>
  <si>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</si>
  <si>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</si>
  <si>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</si>
  <si>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</si>
  <si>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</si>
  <si>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</si>
  <si>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</si>
  <si>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</si>
  <si>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</si>
  <si>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</si>
  <si>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</si>
  <si>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</si>
  <si>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</si>
  <si>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</si>
  <si>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</si>
  <si>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</si>
  <si>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</si>
  <si>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</si>
  <si>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</si>
  <si>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</si>
  <si>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</si>
  <si>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</si>
  <si>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</si>
  <si>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</si>
  <si>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</si>
  <si>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</si>
  <si>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</si>
  <si>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</si>
  <si>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</si>
  <si>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</si>
  <si>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</si>
  <si>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</si>
  <si>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</si>
  <si>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</si>
  <si>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</si>
  <si>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</si>
  <si>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</si>
  <si>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</si>
  <si>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</si>
  <si>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</si>
  <si>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</si>
  <si>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</si>
  <si>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</si>
  <si>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</si>
  <si>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</si>
  <si>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</si>
  <si>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</si>
  <si>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</si>
  <si>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</si>
  <si>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</si>
  <si>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</si>
  <si>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</si>
  <si>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</si>
  <si>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</si>
  <si>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</si>
  <si>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</si>
  <si>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</si>
  <si>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</si>
  <si>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</si>
  <si>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</si>
  <si>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</si>
  <si>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</si>
  <si>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</si>
  <si>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</si>
  <si>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</si>
  <si>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</si>
  <si>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</si>
  <si>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</si>
  <si>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</si>
  <si>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</si>
  <si>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</si>
  <si>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</si>
  <si>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</si>
  <si>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</si>
  <si>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</si>
  <si>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</si>
  <si>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</si>
  <si>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</si>
  <si>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</si>
  <si>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</si>
  <si>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</si>
  <si>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</si>
  <si>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</si>
  <si>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</si>
  <si>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</si>
  <si>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</si>
  <si>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</si>
  <si>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</si>
  <si>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</si>
  <si>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</si>
  <si>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</si>
  <si>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</si>
  <si>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</si>
  <si>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</si>
  <si>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</si>
  <si>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</si>
  <si>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</si>
  <si>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</si>
  <si>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</si>
  <si>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</si>
  <si>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</si>
  <si>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</si>
  <si>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</si>
  <si>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</si>
  <si>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</si>
  <si>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</si>
  <si>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</si>
  <si>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</si>
  <si>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</si>
  <si>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</si>
  <si>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</si>
  <si>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</si>
  <si>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</si>
  <si>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</si>
  <si>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</si>
  <si>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</si>
  <si>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</si>
  <si>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</si>
  <si>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</si>
  <si>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</si>
  <si>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</si>
  <si>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</si>
  <si>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</si>
  <si>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</si>
  <si>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</si>
  <si>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</si>
  <si>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</si>
  <si>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</si>
  <si>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</si>
  <si>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</si>
  <si>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</si>
  <si>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</si>
  <si>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</si>
  <si>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</si>
  <si>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</si>
  <si>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</si>
  <si>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</si>
  <si>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</si>
  <si>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</si>
  <si>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</si>
  <si>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</si>
  <si>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</si>
  <si>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</si>
  <si>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</si>
  <si>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</si>
  <si>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</si>
  <si>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</si>
  <si>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</si>
  <si>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</si>
  <si>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</si>
  <si>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</si>
  <si>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</si>
  <si>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</si>
  <si>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</si>
  <si>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</si>
  <si>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</si>
  <si>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</si>
  <si>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</si>
  <si>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</si>
  <si>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</si>
  <si>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</si>
  <si>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</si>
  <si>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</si>
  <si>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</si>
  <si>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</si>
  <si>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</si>
  <si>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</si>
  <si>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</si>
  <si>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</si>
  <si>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</si>
  <si>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</si>
  <si>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</si>
  <si>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</si>
  <si>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</si>
  <si>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</si>
  <si>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</si>
  <si>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</si>
  <si>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</si>
  <si>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</si>
  <si>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</si>
  <si>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</si>
  <si>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</si>
  <si>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</si>
  <si>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</si>
  <si>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</si>
  <si>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</si>
  <si>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</si>
  <si>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</si>
  <si>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</si>
  <si>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</si>
  <si>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</si>
  <si>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</si>
  <si>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</si>
  <si>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</si>
  <si>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</si>
  <si>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</si>
  <si>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</si>
  <si>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</si>
  <si>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</si>
  <si>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</si>
  <si>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</si>
  <si>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</si>
  <si>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</si>
  <si>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</si>
  <si>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</si>
  <si>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</si>
  <si>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</si>
  <si>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</si>
  <si>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</si>
  <si>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</si>
  <si>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</si>
  <si>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</si>
  <si>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</si>
  <si>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</si>
  <si>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</si>
  <si>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</si>
  <si>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</si>
  <si>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</si>
  <si>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</si>
  <si>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</si>
  <si>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</si>
  <si>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</si>
  <si>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</si>
  <si>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</si>
  <si>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</si>
  <si>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</si>
  <si>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</si>
  <si>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</si>
  <si>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</si>
  <si>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</si>
  <si>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</si>
  <si>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</si>
  <si>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</si>
  <si>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</si>
  <si>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</si>
  <si>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</si>
  <si>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</si>
  <si>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</si>
  <si>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</si>
  <si>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</si>
  <si>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</si>
  <si>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</si>
  <si>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</si>
  <si>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</si>
  <si>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</si>
  <si>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</si>
  <si>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</si>
  <si>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</si>
  <si>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</si>
  <si>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</si>
  <si>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</si>
  <si>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</si>
  <si>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</si>
  <si>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</si>
  <si>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</si>
  <si>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</si>
  <si>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</si>
  <si>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</si>
  <si>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</si>
  <si>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</si>
  <si>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</si>
  <si>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</si>
  <si>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</si>
  <si>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</si>
  <si>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</si>
  <si>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</si>
  <si>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</si>
  <si>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</si>
  <si>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</si>
  <si>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</si>
  <si>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</si>
  <si>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</si>
  <si>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</si>
  <si>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</si>
  <si>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</si>
  <si>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</si>
  <si>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</si>
  <si>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</si>
  <si>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</si>
  <si>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</si>
  <si>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</si>
  <si>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</si>
  <si>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</si>
  <si>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</si>
  <si>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</si>
  <si>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</si>
  <si>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</si>
  <si>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</si>
  <si>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</si>
  <si>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</si>
  <si>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</si>
  <si>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</si>
  <si>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</si>
  <si>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</si>
  <si>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</si>
  <si>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</si>
  <si>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</si>
  <si>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</si>
  <si>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</si>
  <si>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</si>
  <si>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</si>
  <si>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</si>
  <si>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</si>
  <si>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</si>
  <si>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</si>
  <si>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</si>
  <si>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</si>
  <si>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</si>
  <si>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</si>
  <si>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</si>
  <si>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</si>
  <si>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</si>
  <si>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</si>
  <si>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</si>
  <si>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</si>
  <si>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</si>
  <si>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</si>
  <si>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</si>
  <si>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</si>
  <si>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</si>
  <si>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</si>
  <si>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</si>
  <si>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</si>
  <si>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</si>
  <si>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</si>
  <si>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</si>
  <si>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</si>
  <si>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</si>
  <si>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</si>
  <si>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</si>
  <si>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</si>
  <si>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</si>
  <si>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</si>
  <si>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</si>
  <si>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</si>
  <si>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</si>
  <si>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</si>
  <si>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</si>
  <si>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</si>
  <si>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</si>
  <si>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</si>
  <si>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</si>
  <si>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</si>
  <si>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</si>
  <si>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</si>
  <si>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</si>
  <si>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</si>
  <si>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</si>
  <si>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</si>
  <si>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</si>
  <si>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</si>
  <si>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</si>
  <si>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</si>
  <si>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</si>
  <si>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</si>
  <si>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</si>
  <si>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</si>
  <si>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</si>
  <si>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</si>
  <si>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</si>
  <si>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</si>
  <si>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</si>
  <si>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</si>
  <si>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</si>
  <si>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</si>
  <si>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</si>
  <si>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</si>
  <si>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</si>
  <si>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</si>
  <si>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</si>
  <si>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</si>
  <si>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</si>
  <si>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</si>
  <si>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</si>
  <si>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</si>
  <si>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</si>
  <si>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</si>
  <si>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</si>
  <si>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</si>
  <si>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</si>
  <si>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</si>
  <si>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</si>
  <si>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</si>
  <si>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</si>
  <si>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</si>
  <si>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</si>
  <si>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</si>
  <si>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</si>
  <si>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</si>
  <si>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</si>
  <si>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</si>
  <si>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</si>
  <si>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</si>
  <si>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</si>
  <si>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</si>
  <si>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</si>
  <si>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</si>
  <si>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</si>
  <si>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</si>
  <si>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</si>
  <si>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</si>
  <si>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</si>
  <si>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</si>
  <si>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</si>
  <si>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</si>
  <si>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</si>
  <si>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</si>
  <si>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</si>
  <si>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</si>
  <si>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</si>
  <si>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</si>
  <si>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</si>
  <si>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</si>
  <si>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</si>
  <si>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</si>
  <si>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</si>
  <si>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</si>
  <si>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</si>
  <si>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</si>
  <si>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</si>
  <si>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</si>
  <si>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</si>
  <si>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</si>
  <si>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</si>
  <si>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</si>
  <si>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</si>
  <si>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</si>
  <si>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</si>
  <si>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</si>
  <si>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</si>
  <si>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</si>
  <si>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</si>
  <si>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</si>
  <si>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</si>
  <si>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</si>
  <si>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</si>
  <si>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</si>
  <si>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</si>
  <si>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</si>
  <si>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</si>
  <si>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</si>
  <si>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</si>
  <si>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</si>
  <si>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</si>
  <si>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</si>
  <si>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</si>
  <si>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</si>
  <si>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</si>
  <si>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</si>
  <si>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</si>
  <si>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</si>
  <si>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</si>
  <si>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</si>
  <si>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</si>
  <si>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</si>
  <si>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</si>
  <si>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</si>
  <si>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</si>
  <si>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</si>
  <si>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</si>
  <si>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</si>
  <si>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</si>
  <si>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</si>
  <si>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</si>
  <si>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</si>
  <si>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</si>
  <si>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</si>
  <si>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</si>
  <si>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</si>
  <si>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</si>
  <si>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</si>
  <si>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</si>
  <si>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</si>
  <si>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</si>
  <si>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</si>
  <si>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</si>
  <si>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</si>
  <si>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</si>
  <si>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</si>
  <si>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</si>
  <si>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</si>
  <si>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</si>
  <si>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</si>
  <si>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</si>
  <si>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</si>
  <si>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</si>
  <si>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</si>
  <si>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</si>
  <si>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</si>
  <si>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</si>
  <si>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</si>
  <si>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</si>
  <si>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</si>
  <si>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</si>
  <si>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</si>
  <si>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</si>
  <si>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</si>
  <si>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</si>
  <si>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</si>
  <si>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</si>
  <si>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</si>
  <si>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</si>
  <si>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</si>
  <si>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</si>
  <si>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</si>
  <si>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</si>
  <si>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</si>
  <si>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</si>
  <si>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</si>
  <si>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</si>
  <si>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</si>
  <si>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</si>
  <si>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</si>
  <si>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</si>
  <si>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</si>
  <si>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</si>
  <si>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</si>
  <si>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</si>
  <si>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</si>
  <si>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</si>
  <si>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</si>
  <si>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</si>
  <si>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</si>
  <si>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</si>
  <si>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</si>
  <si>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</si>
  <si>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</si>
  <si>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</si>
  <si>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</si>
  <si>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</si>
  <si>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</si>
  <si>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</si>
  <si>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</si>
  <si>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</si>
  <si>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</si>
  <si>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</si>
  <si>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</si>
  <si>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</si>
  <si>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</si>
  <si>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</si>
  <si>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</si>
  <si>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</si>
  <si>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</si>
  <si>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</si>
  <si>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</si>
  <si>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</si>
  <si>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</si>
  <si>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</si>
  <si>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</si>
  <si>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</si>
  <si>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</si>
  <si>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</si>
  <si>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</si>
  <si>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</si>
  <si>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</si>
  <si>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</si>
  <si>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</si>
  <si>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</si>
  <si>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</si>
  <si>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</si>
  <si>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</si>
  <si>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</si>
  <si>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</si>
  <si>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</si>
  <si>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</si>
  <si>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</si>
  <si>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</si>
  <si>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</si>
  <si>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</si>
  <si>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</si>
  <si>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</si>
  <si>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</si>
  <si>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</si>
  <si>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</si>
  <si>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</si>
  <si>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</si>
  <si>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</si>
  <si>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</si>
  <si>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</si>
  <si>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</si>
  <si>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</si>
  <si>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</si>
  <si>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</si>
  <si>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</si>
  <si>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</si>
  <si>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</si>
  <si>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</si>
  <si>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</si>
  <si>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</si>
  <si>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</si>
  <si>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</si>
  <si>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</si>
  <si>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</si>
  <si>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</si>
  <si>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</si>
  <si>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</si>
  <si>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</si>
  <si>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</si>
  <si>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</si>
  <si>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</si>
  <si>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</si>
  <si>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</si>
  <si>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</si>
  <si>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</si>
  <si>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</si>
  <si>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</si>
  <si>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</si>
  <si>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</si>
  <si>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</si>
  <si>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</si>
  <si>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</si>
  <si>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</si>
  <si>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</si>
  <si>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</si>
  <si>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</si>
  <si>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</si>
  <si>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</si>
  <si>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</si>
  <si>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</si>
  <si>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</si>
  <si>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</si>
  <si>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</si>
  <si>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</si>
  <si>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</si>
  <si>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</si>
  <si>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</si>
  <si>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</si>
  <si>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</si>
  <si>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</si>
  <si>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</si>
  <si>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</si>
  <si>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</si>
  <si>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</si>
  <si>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</si>
  <si>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</si>
  <si>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</si>
  <si>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</si>
  <si>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</si>
  <si>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</si>
  <si>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</si>
  <si>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</si>
  <si>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</si>
  <si>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</si>
  <si>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</si>
  <si>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</si>
  <si>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</si>
  <si>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</si>
  <si>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</si>
  <si>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</si>
  <si>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</si>
  <si>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</si>
  <si>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</si>
  <si>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</si>
  <si>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</si>
  <si>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</si>
  <si>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</si>
  <si>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</si>
  <si>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</si>
  <si>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</si>
  <si>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</si>
  <si>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</si>
  <si>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</si>
  <si>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</si>
  <si>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</si>
  <si>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</si>
  <si>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</si>
  <si>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</si>
  <si>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</si>
  <si>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</si>
  <si>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</si>
  <si>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</si>
  <si>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</si>
  <si>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</si>
  <si>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</si>
  <si>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</si>
  <si>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</si>
  <si>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</si>
  <si>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</si>
  <si>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</si>
  <si>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</si>
  <si>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</si>
  <si>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</si>
  <si>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</si>
  <si>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</si>
  <si>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</si>
  <si>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</si>
  <si>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</si>
  <si>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</si>
  <si>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</si>
  <si>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</si>
  <si>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</si>
  <si>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</si>
  <si>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</si>
  <si>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</si>
  <si>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</si>
  <si>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</si>
  <si>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</si>
  <si>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</si>
  <si>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</si>
  <si>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</si>
  <si>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</si>
  <si>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</si>
  <si>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</si>
  <si>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</si>
  <si>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</si>
  <si>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</si>
  <si>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</si>
  <si>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</si>
  <si>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</si>
  <si>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</si>
  <si>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</si>
  <si>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</si>
  <si>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</si>
  <si>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</si>
  <si>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</si>
  <si>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</si>
  <si>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</si>
  <si>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</si>
  <si>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</si>
  <si>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</si>
  <si>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</si>
  <si>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</si>
  <si>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</si>
  <si>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</si>
  <si>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</si>
  <si>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</si>
  <si>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</si>
  <si>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</si>
  <si>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</si>
  <si>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</si>
  <si>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</si>
  <si>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</si>
  <si>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</si>
  <si>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</si>
  <si>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</si>
  <si>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</si>
  <si>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</si>
  <si>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</si>
  <si>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</si>
  <si>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</si>
  <si>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</si>
  <si>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</si>
  <si>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</si>
  <si>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</si>
  <si>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</si>
  <si>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</si>
  <si>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</si>
  <si>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</si>
  <si>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</si>
  <si>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</si>
  <si>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</si>
  <si>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</si>
  <si>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</si>
  <si>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</si>
  <si>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</si>
  <si>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</si>
  <si>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</si>
  <si>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</si>
  <si>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</si>
  <si>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</si>
  <si>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</si>
  <si>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</si>
  <si>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</si>
  <si>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</si>
  <si>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</si>
  <si>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</si>
  <si>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</si>
  <si>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</si>
  <si>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</si>
  <si>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</si>
  <si>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</si>
  <si>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</si>
  <si>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</si>
  <si>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</si>
  <si>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</si>
  <si>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</si>
  <si>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</si>
  <si>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</si>
  <si>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</si>
  <si>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</si>
  <si>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</si>
  <si>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</si>
  <si>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</si>
  <si>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</si>
  <si>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</si>
  <si>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</si>
  <si>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</si>
  <si>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</si>
  <si>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</si>
  <si>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</si>
  <si>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</si>
  <si>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</si>
  <si>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</si>
  <si>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</si>
  <si>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</si>
  <si>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</si>
  <si>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</si>
  <si>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</si>
  <si>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</si>
  <si>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</si>
  <si>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</si>
  <si>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</si>
  <si>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</si>
  <si>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</si>
  <si>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</si>
  <si>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</si>
  <si>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</si>
  <si>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</si>
  <si>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</si>
  <si>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</si>
  <si>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</si>
  <si>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</si>
  <si>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</si>
  <si>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</si>
  <si>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</si>
  <si>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</si>
  <si>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</si>
  <si>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</si>
  <si>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</si>
  <si>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</si>
  <si>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</si>
  <si>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</si>
  <si>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</si>
  <si>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</si>
  <si>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</si>
  <si>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</si>
  <si>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</si>
  <si>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</si>
  <si>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</si>
  <si>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</si>
  <si>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</si>
  <si>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</si>
  <si>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</si>
  <si>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</si>
  <si>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</si>
  <si>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</si>
  <si>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</si>
  <si>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</si>
  <si>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</si>
  <si>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</si>
  <si>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</si>
  <si>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</si>
  <si>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</si>
  <si>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</si>
  <si>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</si>
  <si>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</si>
  <si>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</si>
  <si>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</si>
  <si>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</si>
  <si>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</si>
  <si>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</si>
  <si>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</si>
  <si>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</si>
  <si>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</si>
  <si>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</si>
  <si>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</si>
  <si>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</si>
  <si>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</si>
  <si>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</si>
  <si>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</si>
  <si>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</si>
  <si>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</si>
  <si>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</si>
  <si>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</si>
  <si>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</si>
  <si>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</si>
  <si>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</si>
  <si>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</si>
  <si>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</si>
  <si>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</si>
  <si>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</si>
  <si>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</si>
  <si>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</si>
  <si>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</si>
  <si>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</si>
  <si>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</si>
  <si>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</si>
  <si>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</si>
  <si>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</si>
  <si>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</si>
  <si>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</si>
  <si>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</si>
  <si>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</si>
  <si>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</si>
  <si>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</si>
  <si>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</si>
  <si>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</si>
  <si>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</si>
  <si>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</si>
  <si>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</si>
  <si>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</si>
  <si>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</si>
  <si>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</si>
  <si>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</si>
  <si>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</si>
  <si>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</si>
  <si>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</si>
  <si>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</si>
  <si>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</si>
  <si>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</si>
  <si>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</si>
  <si>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</si>
  <si>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</si>
  <si>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</si>
  <si>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</si>
  <si>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</si>
  <si>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</si>
  <si>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</si>
  <si>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</si>
  <si>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</si>
  <si>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</si>
  <si>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</si>
  <si>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</si>
  <si>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</si>
  <si>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</si>
  <si>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</si>
  <si>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</si>
  <si>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</si>
  <si>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</si>
  <si>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</si>
  <si>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</si>
  <si>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</si>
  <si>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</si>
  <si>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</si>
  <si>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</si>
  <si>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</si>
  <si>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</si>
  <si>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</si>
  <si>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</si>
  <si>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</si>
  <si>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</si>
  <si>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</si>
  <si>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</si>
  <si>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</si>
  <si>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</si>
  <si>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</si>
  <si>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</si>
  <si>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</si>
  <si>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</si>
  <si>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</si>
  <si>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</si>
  <si>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</si>
  <si>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</si>
  <si>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</si>
  <si>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</si>
  <si>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</si>
  <si>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</si>
  <si>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</si>
  <si>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</si>
  <si>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</si>
  <si>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</si>
  <si>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</si>
  <si>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</si>
  <si>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</si>
  <si>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</si>
  <si>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</si>
  <si>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</si>
  <si>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</si>
  <si>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</si>
  <si>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</si>
  <si>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</si>
  <si>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</si>
  <si>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</si>
  <si>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</si>
  <si>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</si>
  <si>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</si>
  <si>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</si>
  <si>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</si>
  <si>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</si>
  <si>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</si>
  <si>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</si>
  <si>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</si>
  <si>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</si>
  <si>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</si>
  <si>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</si>
  <si>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</si>
  <si>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</si>
  <si>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</si>
  <si>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</si>
  <si>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</si>
  <si>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</si>
  <si>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</si>
  <si>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</si>
  <si>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</si>
  <si>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</si>
  <si>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</si>
  <si>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</si>
  <si>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</si>
  <si>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</si>
  <si>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</si>
  <si>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</si>
  <si>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</si>
  <si>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</si>
  <si>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</si>
  <si>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</si>
  <si>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</si>
  <si>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</si>
  <si>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</si>
  <si>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</si>
  <si>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</si>
  <si>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</si>
  <si>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</si>
  <si>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</si>
  <si>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</si>
  <si>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</si>
  <si>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</si>
  <si>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</si>
  <si>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</si>
  <si>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</si>
  <si>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</si>
  <si>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</si>
  <si>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</si>
  <si>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</si>
  <si>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</si>
  <si>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</si>
  <si>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</si>
  <si>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</si>
  <si>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</si>
  <si>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</si>
  <si>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</si>
  <si>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</si>
  <si>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</si>
  <si>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</si>
  <si>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</si>
  <si>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</si>
  <si>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</si>
  <si>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</si>
  <si>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</si>
  <si>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</si>
  <si>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</si>
  <si>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</si>
  <si>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</si>
  <si>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</si>
  <si>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</si>
  <si>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</si>
  <si>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</si>
  <si>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</si>
  <si>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</si>
  <si>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</si>
  <si>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</si>
  <si>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</si>
  <si>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</si>
  <si>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</si>
  <si>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</si>
  <si>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</si>
  <si>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</si>
  <si>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</si>
  <si>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</si>
  <si>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</si>
  <si>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</si>
  <si>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</si>
  <si>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</si>
  <si>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</si>
  <si>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</si>
  <si>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</si>
  <si>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</si>
  <si>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</si>
  <si>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</si>
  <si>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</si>
  <si>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</si>
  <si>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</si>
  <si>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</si>
  <si>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</si>
  <si>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</si>
  <si>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</si>
  <si>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</si>
  <si>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</si>
  <si>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</si>
  <si>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</si>
  <si>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</si>
  <si>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</si>
  <si>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</si>
  <si>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</si>
  <si>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</si>
  <si>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</si>
  <si>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</si>
  <si>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</si>
  <si>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</si>
  <si>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</si>
  <si>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</si>
  <si>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</si>
  <si>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</si>
  <si>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</si>
  <si>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</si>
  <si>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</si>
  <si>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</si>
  <si>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</si>
  <si>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</si>
  <si>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</si>
  <si>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</si>
  <si>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</si>
  <si>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</si>
  <si>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</si>
  <si>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</si>
  <si>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</si>
  <si>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</si>
  <si>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</si>
  <si>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</si>
  <si>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</si>
  <si>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</si>
  <si>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</si>
  <si>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</si>
  <si>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</si>
  <si>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</si>
  <si>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</si>
  <si>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</si>
  <si>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</si>
  <si>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</si>
  <si>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</si>
  <si>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</si>
  <si>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</si>
  <si>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</si>
  <si>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</si>
  <si>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</si>
  <si>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</si>
  <si>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</si>
  <si>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</si>
  <si>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</si>
  <si>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</si>
  <si>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</si>
  <si>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</si>
  <si>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</si>
  <si>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</si>
  <si>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</si>
  <si>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</si>
  <si>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</si>
  <si>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</si>
  <si>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</si>
  <si>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</si>
  <si>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</si>
  <si>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</si>
  <si>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</si>
  <si>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</si>
  <si>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</si>
  <si>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</si>
  <si>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</si>
  <si>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</si>
  <si>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</si>
  <si>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</si>
  <si>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</si>
  <si>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</si>
  <si>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</si>
  <si>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</si>
  <si>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</si>
  <si>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</si>
  <si>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</si>
  <si>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</si>
  <si>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</si>
  <si>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</si>
  <si>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</si>
  <si>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</si>
  <si>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</si>
  <si>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</si>
  <si>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</si>
  <si>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</si>
  <si>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</si>
  <si>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</si>
  <si>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</si>
  <si>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</si>
  <si>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</si>
  <si>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</si>
  <si>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</si>
  <si>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</si>
  <si>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</si>
  <si>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</si>
  <si>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</si>
  <si>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</si>
  <si>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</si>
  <si>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</si>
  <si>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</si>
  <si>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</si>
  <si>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</si>
  <si>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</si>
  <si>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</si>
  <si>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</si>
  <si>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</si>
  <si>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</si>
  <si>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</si>
  <si>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</si>
  <si>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</si>
  <si>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</si>
  <si>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</si>
  <si>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</si>
  <si>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</si>
  <si>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</si>
  <si>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</si>
  <si>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</si>
  <si>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</si>
  <si>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</si>
  <si>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</si>
  <si>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</si>
  <si>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</si>
  <si>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</si>
  <si>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</si>
  <si>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</si>
  <si>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</si>
  <si>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</si>
  <si>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</si>
  <si>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</si>
  <si>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</si>
  <si>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</si>
  <si>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</si>
  <si>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</si>
  <si>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</si>
  <si>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</si>
  <si>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</si>
  <si>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</si>
  <si>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</si>
  <si>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</si>
  <si>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</si>
  <si>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</si>
  <si>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</si>
  <si>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</si>
  <si>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</si>
  <si>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</si>
  <si>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</si>
  <si>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</si>
  <si>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</si>
  <si>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</si>
  <si>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</si>
  <si>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</si>
  <si>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</si>
  <si>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</si>
  <si>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</si>
  <si>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</si>
  <si>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</si>
  <si>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</si>
  <si>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</si>
  <si>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</si>
  <si>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</si>
  <si>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</si>
  <si>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</si>
  <si>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</si>
  <si>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</si>
  <si>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</si>
  <si>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</si>
  <si>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</si>
  <si>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</si>
  <si>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</si>
  <si>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</si>
  <si>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</si>
  <si>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</si>
  <si>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</si>
  <si>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</si>
  <si>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</si>
  <si>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</si>
  <si>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</si>
  <si>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</si>
  <si>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</si>
  <si>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</si>
  <si>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</si>
  <si>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</si>
  <si>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</si>
  <si>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</si>
  <si>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</si>
  <si>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</si>
  <si>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</si>
  <si>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</si>
  <si>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</si>
  <si>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</si>
  <si>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</si>
  <si>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</si>
  <si>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</si>
  <si>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</si>
  <si>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</si>
  <si>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</si>
  <si>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</si>
  <si>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</si>
  <si>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</si>
  <si>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</si>
  <si>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</si>
  <si>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</si>
  <si>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</si>
  <si>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</si>
  <si>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</si>
  <si>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</si>
  <si>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</si>
  <si>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</si>
  <si>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</si>
  <si>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</si>
  <si>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</si>
  <si>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</si>
  <si>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</si>
  <si>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</si>
  <si>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</si>
  <si>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</si>
  <si>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</si>
  <si>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</si>
  <si>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</si>
  <si>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</si>
  <si>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</si>
  <si>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</si>
  <si>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</si>
  <si>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</si>
  <si>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</si>
  <si>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</si>
  <si>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</si>
  <si>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</si>
  <si>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</si>
  <si>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</si>
  <si>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</si>
  <si>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</si>
  <si>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</si>
  <si>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</si>
  <si>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</si>
  <si>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</si>
  <si>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</si>
  <si>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</si>
  <si>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</si>
  <si>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</si>
  <si>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</si>
  <si>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</si>
  <si>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</si>
  <si>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</si>
  <si>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</si>
  <si>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</si>
  <si>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</si>
  <si>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</si>
  <si>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</si>
  <si>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</si>
  <si>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</si>
  <si>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</si>
  <si>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</si>
  <si>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</si>
  <si>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</si>
  <si>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</si>
  <si>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</si>
  <si>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</si>
  <si>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</si>
  <si>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</si>
  <si>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</si>
  <si>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</si>
  <si>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</si>
  <si>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</si>
  <si>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</si>
  <si>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</si>
  <si>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</si>
  <si>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</si>
  <si>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</si>
  <si>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</si>
  <si>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</si>
  <si>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</si>
  <si>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</si>
  <si>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</si>
  <si>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</si>
  <si>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</si>
  <si>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</si>
  <si>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</si>
  <si>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</si>
  <si>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</si>
  <si>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</si>
  <si>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</si>
  <si>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</si>
  <si>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</si>
  <si>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</si>
  <si>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</si>
  <si>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</si>
  <si>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</si>
  <si>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</si>
  <si>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</si>
  <si>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</si>
  <si>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</si>
  <si>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</si>
  <si>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</si>
  <si>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</si>
  <si>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</si>
  <si>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</si>
  <si>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</si>
  <si>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</si>
  <si>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</si>
  <si>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</si>
  <si>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</si>
  <si>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</si>
  <si>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</si>
  <si>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</si>
  <si>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</si>
  <si>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</si>
  <si>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</si>
  <si>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</si>
  <si>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</si>
  <si>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</si>
  <si>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</si>
  <si>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</si>
  <si>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</si>
  <si>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</si>
  <si>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</si>
  <si>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</si>
  <si>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</si>
  <si>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</si>
  <si>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</si>
  <si>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</si>
  <si>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</si>
  <si>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</si>
  <si>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</si>
  <si>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</si>
  <si>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</si>
  <si>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</si>
  <si>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</si>
  <si>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</si>
  <si>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</si>
  <si>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</si>
  <si>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</si>
  <si>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</si>
  <si>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</si>
  <si>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</si>
  <si>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</si>
  <si>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</si>
  <si>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</si>
  <si>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</si>
  <si>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</si>
  <si>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</si>
  <si>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</si>
  <si>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</si>
  <si>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</si>
  <si>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</si>
  <si>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</si>
  <si>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</si>
  <si>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</si>
  <si>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</si>
  <si>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</si>
  <si>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</si>
  <si>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</si>
  <si>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</si>
  <si>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</si>
  <si>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</si>
  <si>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</si>
  <si>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</si>
  <si>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</si>
  <si>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</si>
  <si>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</si>
  <si>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</si>
  <si>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</si>
  <si>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</si>
  <si>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</si>
  <si>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</si>
  <si>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</si>
  <si>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</si>
  <si>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</si>
  <si>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</si>
  <si>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</si>
  <si>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</si>
  <si>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</si>
  <si>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</si>
  <si>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</si>
  <si>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</si>
  <si>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</si>
  <si>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</si>
  <si>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</si>
  <si>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</si>
  <si>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</si>
  <si>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</si>
  <si>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</si>
  <si>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</si>
  <si>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</si>
  <si>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</si>
  <si>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</si>
  <si>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</si>
  <si>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</si>
  <si>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</si>
  <si>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</si>
  <si>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</si>
  <si>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</si>
  <si>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</si>
  <si>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</si>
  <si>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</si>
  <si>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</si>
  <si>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</si>
  <si>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</si>
  <si>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</si>
  <si>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</si>
  <si>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</si>
  <si>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</si>
  <si>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</si>
  <si>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</si>
  <si>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</si>
  <si>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</si>
  <si>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</si>
  <si>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</si>
  <si>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</si>
  <si>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</si>
  <si>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</si>
  <si>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</si>
  <si>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</si>
  <si>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</si>
  <si>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</si>
  <si>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</si>
  <si>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</si>
  <si>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</si>
  <si>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</si>
  <si>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</si>
  <si>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</si>
  <si>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</si>
  <si>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</si>
  <si>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</si>
  <si>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</si>
  <si>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</si>
  <si>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</si>
  <si>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</si>
  <si>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</si>
  <si>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</si>
  <si>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</si>
  <si>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</si>
  <si>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</si>
  <si>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</si>
  <si>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</si>
  <si>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</si>
  <si>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</si>
  <si>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</si>
  <si>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</si>
  <si>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</si>
  <si>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</si>
  <si>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</si>
  <si>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</si>
  <si>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</si>
  <si>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</si>
  <si>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</si>
  <si>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</si>
  <si>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</si>
  <si>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</si>
  <si>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</si>
  <si>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</si>
  <si>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</si>
  <si>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</si>
  <si>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</si>
  <si>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</si>
  <si>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</si>
  <si>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</si>
  <si>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</si>
  <si>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</si>
  <si>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</si>
  <si>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</si>
  <si>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</si>
  <si>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</si>
  <si>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</si>
  <si>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</si>
  <si>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</si>
  <si>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</si>
  <si>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</si>
  <si>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</si>
  <si>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</si>
  <si>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</si>
  <si>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</si>
  <si>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</si>
  <si>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</si>
  <si>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</si>
  <si>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</si>
  <si>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</si>
  <si>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</si>
  <si>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</si>
  <si>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</si>
  <si>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</si>
  <si>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</si>
  <si>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</si>
  <si>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</si>
  <si>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</si>
  <si>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</si>
  <si>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</si>
  <si>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</si>
  <si>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</si>
  <si>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</si>
  <si>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</si>
  <si>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</si>
  <si>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</si>
  <si>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</si>
  <si>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</si>
  <si>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</si>
  <si>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</si>
  <si>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</si>
  <si>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</si>
  <si>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</si>
  <si>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</si>
  <si>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</si>
  <si>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</si>
  <si>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</si>
  <si>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</si>
  <si>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</si>
  <si>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</si>
  <si>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</si>
  <si>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</si>
  <si>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</si>
  <si>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</si>
  <si>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</si>
  <si>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</si>
  <si>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</si>
  <si>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</si>
  <si>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</si>
  <si>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</si>
  <si>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</si>
  <si>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</si>
  <si>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</si>
  <si>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</si>
  <si>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</si>
  <si>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</si>
  <si>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</si>
  <si>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</si>
  <si>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</si>
  <si>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</si>
  <si>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</si>
  <si>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</si>
  <si>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</si>
  <si>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</si>
  <si>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</si>
  <si>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</si>
  <si>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</si>
  <si>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</si>
  <si>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</si>
  <si>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</si>
  <si>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</si>
  <si>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</si>
  <si>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</si>
  <si>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</si>
  <si>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</si>
  <si>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</si>
  <si>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</si>
  <si>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</si>
  <si>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</si>
  <si>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</si>
  <si>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</si>
  <si>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</si>
  <si>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</si>
  <si>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</si>
  <si>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</si>
  <si>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</si>
  <si>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</si>
  <si>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</si>
  <si>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</si>
  <si>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</si>
  <si>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</si>
  <si>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</si>
  <si>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</si>
  <si>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</si>
  <si>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</si>
  <si>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</si>
  <si>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</si>
  <si>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</si>
  <si>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</si>
  <si>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</si>
  <si>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</si>
  <si>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</si>
  <si>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</si>
  <si>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</si>
  <si>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</si>
  <si>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</si>
  <si>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</si>
  <si>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</si>
  <si>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</si>
  <si>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</si>
  <si>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</si>
  <si>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</si>
  <si>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</si>
  <si>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</si>
  <si>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</si>
  <si>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</si>
  <si>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</si>
  <si>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</si>
  <si>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</si>
  <si>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</si>
  <si>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</si>
  <si>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</si>
  <si>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</si>
  <si>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</si>
  <si>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</si>
  <si>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</si>
  <si>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</si>
  <si>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</si>
  <si>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</si>
  <si>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</si>
  <si>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</si>
  <si>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</si>
  <si>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</si>
  <si>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</si>
  <si>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</si>
  <si>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</si>
  <si>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</si>
  <si>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</si>
  <si>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</si>
  <si>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</si>
  <si>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</si>
  <si>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</si>
  <si>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</si>
  <si>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</si>
  <si>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</si>
  <si>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</si>
  <si>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</si>
  <si>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</si>
  <si>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</si>
  <si>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</si>
  <si>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</si>
  <si>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</si>
  <si>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</si>
  <si>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</si>
  <si>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</si>
  <si>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</si>
  <si>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</si>
  <si>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</si>
  <si>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</si>
  <si>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</si>
  <si>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</si>
  <si>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</si>
  <si>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</si>
  <si>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</si>
  <si>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</si>
  <si>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</si>
  <si>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</si>
  <si>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</si>
  <si>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</si>
  <si>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</si>
  <si>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</si>
  <si>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</si>
  <si>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</si>
  <si>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</si>
  <si>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</si>
  <si>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</si>
  <si>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</si>
  <si>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</si>
  <si>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</si>
  <si>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</si>
  <si>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</si>
  <si>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</si>
  <si>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</si>
  <si>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</si>
  <si>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</si>
  <si>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</si>
  <si>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</si>
  <si>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</si>
  <si>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</si>
  <si>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</si>
  <si>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</si>
  <si>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</si>
  <si>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</si>
  <si>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</si>
  <si>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</si>
  <si>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</si>
  <si>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</si>
  <si>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</si>
  <si>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</si>
  <si>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</si>
  <si>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</si>
  <si>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</si>
  <si>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</si>
  <si>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</si>
  <si>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</si>
  <si>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</si>
  <si>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</si>
  <si>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</si>
  <si>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</si>
  <si>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</si>
  <si>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</si>
  <si>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</si>
  <si>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</si>
  <si>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</si>
  <si>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</si>
  <si>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</si>
  <si>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</si>
  <si>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</si>
  <si>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</si>
  <si>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</si>
  <si>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</si>
  <si>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</si>
  <si>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</si>
  <si>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</si>
  <si>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</si>
  <si>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</si>
  <si>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</si>
  <si>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</si>
  <si>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</si>
  <si>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</si>
  <si>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</si>
  <si>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</si>
  <si>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</si>
  <si>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</si>
  <si>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</si>
  <si>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</si>
  <si>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</si>
  <si>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</si>
  <si>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</si>
  <si>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</si>
  <si>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</si>
  <si>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</si>
  <si>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</si>
  <si>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</si>
  <si>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</si>
  <si>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</si>
  <si>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</si>
  <si>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</si>
  <si>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</si>
  <si>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</si>
  <si>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</si>
  <si>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</si>
  <si>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</si>
  <si>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</si>
  <si>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</si>
  <si>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</si>
  <si>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</si>
  <si>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</si>
  <si>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</si>
  <si>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</si>
  <si>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</si>
  <si>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</si>
  <si>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</si>
  <si>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</si>
  <si>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</si>
  <si>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</si>
  <si>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</si>
  <si>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</si>
  <si>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</si>
  <si>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</si>
  <si>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</si>
  <si>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</si>
  <si>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</si>
  <si>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</si>
  <si>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</si>
  <si>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</si>
  <si>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</si>
  <si>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</si>
  <si>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</si>
  <si>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</si>
  <si>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</si>
  <si>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</si>
  <si>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</si>
  <si>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</si>
  <si>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</si>
  <si>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</si>
  <si>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</si>
  <si>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</si>
  <si>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</si>
  <si>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</si>
  <si>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</si>
  <si>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</si>
  <si>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</si>
  <si>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</si>
  <si>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</si>
  <si>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</si>
  <si>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</si>
  <si>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</si>
  <si>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</si>
  <si>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</si>
  <si>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</si>
  <si>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</si>
  <si>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</si>
  <si>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</si>
  <si>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</si>
  <si>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</si>
  <si>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</si>
  <si>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</si>
  <si>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</si>
  <si>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</si>
  <si>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</si>
  <si>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</si>
  <si>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</si>
  <si>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</si>
  <si>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</si>
  <si>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</si>
  <si>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</si>
  <si>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</si>
  <si>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</si>
  <si>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</si>
  <si>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</si>
  <si>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</si>
  <si>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</si>
  <si>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</si>
  <si>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</si>
  <si>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</si>
  <si>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</si>
  <si>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</si>
  <si>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</si>
  <si>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</si>
  <si>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</si>
  <si>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</si>
  <si>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</si>
  <si>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</si>
  <si>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</si>
  <si>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</si>
  <si>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</si>
  <si>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</si>
  <si>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</si>
  <si>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</si>
  <si>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</si>
  <si>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</si>
  <si>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</si>
  <si>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</si>
  <si>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</si>
  <si>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</si>
  <si>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</si>
  <si>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</si>
  <si>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</si>
  <si>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</si>
  <si>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</si>
  <si>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</si>
  <si>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</si>
  <si>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</si>
  <si>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</si>
  <si>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</si>
  <si>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</si>
  <si>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</si>
  <si>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</si>
  <si>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</si>
  <si>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</si>
  <si>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</si>
  <si>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</si>
  <si>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</si>
  <si>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</si>
  <si>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</si>
  <si>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</si>
  <si>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</si>
  <si>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</si>
  <si>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</si>
  <si>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</si>
  <si>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</si>
  <si>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</si>
  <si>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</si>
  <si>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</si>
  <si>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</si>
  <si>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</si>
  <si>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</si>
  <si>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</si>
  <si>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</si>
  <si>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</si>
  <si>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</si>
  <si>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</si>
  <si>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</si>
  <si>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</si>
  <si>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</si>
  <si>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</si>
  <si>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</si>
  <si>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</si>
  <si>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</si>
  <si>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</si>
  <si>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</si>
  <si>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</si>
  <si>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</si>
  <si>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</si>
  <si>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</si>
  <si>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</si>
  <si>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</si>
  <si>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</si>
  <si>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</si>
  <si>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</si>
  <si>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</si>
  <si>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</si>
  <si>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</si>
  <si>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</si>
  <si>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</si>
  <si>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</si>
  <si>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</si>
  <si>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</si>
  <si>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</si>
  <si>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</si>
  <si>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</si>
  <si>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</si>
  <si>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</si>
  <si>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</si>
  <si>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</si>
  <si>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</si>
  <si>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</si>
  <si>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</si>
  <si>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</si>
  <si>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</si>
  <si>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</si>
  <si>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</si>
  <si>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</si>
  <si>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</si>
  <si>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</si>
  <si>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</si>
  <si>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</si>
  <si>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</si>
  <si>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</si>
  <si>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</si>
  <si>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</si>
  <si>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</si>
  <si>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</si>
  <si>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</si>
  <si>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</si>
  <si>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</si>
  <si>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</si>
  <si>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</si>
  <si>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</si>
  <si>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</si>
  <si>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</si>
  <si>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</si>
  <si>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</si>
  <si>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</si>
  <si>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</si>
  <si>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</si>
  <si>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</si>
  <si>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</si>
  <si>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</si>
  <si>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</si>
  <si>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</si>
  <si>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</si>
  <si>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</si>
  <si>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</si>
  <si>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</si>
  <si>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</si>
  <si>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</si>
  <si>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</si>
  <si>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</si>
  <si>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</si>
  <si>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</si>
  <si>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</si>
  <si>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</si>
  <si>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</si>
  <si>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</si>
  <si>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</si>
  <si>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</si>
  <si>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</si>
  <si>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</si>
  <si>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</si>
  <si>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</si>
  <si>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</si>
  <si>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</si>
  <si>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</si>
  <si>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</si>
  <si>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</si>
  <si>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</si>
  <si>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</si>
  <si>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</si>
  <si>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</si>
  <si>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</si>
  <si>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</si>
  <si>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</si>
  <si>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</si>
  <si>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</si>
  <si>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</si>
  <si>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</si>
  <si>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</si>
  <si>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</si>
  <si>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</si>
  <si>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</si>
  <si>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</si>
  <si>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</si>
  <si>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</si>
  <si>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</si>
  <si>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</si>
  <si>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</si>
  <si>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</si>
  <si>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</si>
  <si>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</si>
  <si>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</si>
  <si>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</si>
  <si>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</si>
  <si>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</si>
  <si>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</si>
  <si>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</si>
  <si>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</si>
  <si>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</si>
  <si>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</si>
  <si>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</si>
  <si>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</si>
  <si>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</si>
  <si>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</si>
  <si>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</si>
  <si>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</si>
  <si>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</si>
  <si>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</si>
  <si>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</si>
  <si>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</si>
  <si>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</si>
  <si>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</si>
  <si>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</si>
  <si>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</si>
  <si>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</si>
  <si>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</si>
  <si>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</si>
  <si>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</si>
  <si>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</si>
  <si>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</si>
  <si>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</si>
  <si>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</si>
  <si>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</si>
  <si>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</si>
  <si>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</si>
  <si>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</si>
  <si>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</si>
  <si>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</si>
  <si>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</si>
  <si>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</si>
  <si>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</si>
  <si>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</si>
  <si>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</si>
  <si>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</si>
  <si>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</si>
  <si>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</si>
  <si>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</si>
  <si>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</si>
  <si>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</si>
  <si>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</si>
  <si>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</si>
  <si>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</si>
  <si>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</si>
  <si>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</si>
  <si>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</si>
  <si>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</si>
  <si>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</si>
  <si>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</si>
  <si>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</si>
  <si>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</si>
  <si>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</si>
  <si>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</si>
  <si>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</si>
  <si>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</si>
  <si>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</si>
  <si>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</si>
  <si>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</si>
  <si>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</si>
  <si>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</si>
  <si>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</si>
  <si>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</si>
  <si>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</si>
  <si>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</si>
  <si>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</si>
  <si>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</si>
  <si>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</si>
  <si>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</si>
  <si>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</si>
  <si>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</si>
  <si>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</si>
  <si>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</si>
  <si>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</si>
  <si>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</si>
  <si>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</si>
  <si>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</si>
  <si>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</si>
  <si>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</si>
  <si>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</si>
  <si>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</si>
  <si>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</si>
  <si>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</si>
  <si>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</si>
  <si>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</si>
  <si>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</si>
  <si>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</si>
  <si>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</si>
  <si>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</si>
  <si>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</si>
  <si>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</si>
  <si>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</si>
  <si>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</si>
  <si>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</si>
  <si>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</si>
  <si>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</si>
  <si>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</si>
  <si>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</si>
  <si>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</si>
  <si>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</si>
  <si>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</si>
  <si>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</si>
  <si>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</si>
  <si>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</si>
  <si>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</si>
  <si>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</si>
  <si>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</si>
  <si>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</si>
  <si>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</si>
  <si>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</si>
  <si>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</si>
  <si>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</si>
  <si>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</si>
  <si>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</si>
  <si>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</si>
  <si>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</si>
  <si>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</si>
  <si>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</si>
  <si>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</si>
  <si>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</si>
  <si>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</si>
  <si>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</si>
  <si>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</si>
  <si>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</si>
  <si>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</si>
  <si>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</si>
  <si>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</si>
  <si>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</si>
  <si>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</si>
  <si>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</si>
  <si>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</si>
  <si>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</si>
  <si>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</si>
  <si>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</si>
  <si>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</si>
  <si>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</si>
  <si>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</si>
  <si>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</si>
  <si>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</si>
  <si>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</si>
  <si>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</si>
  <si>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</si>
  <si>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</si>
  <si>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</si>
  <si>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</si>
  <si>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</si>
  <si>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</si>
  <si>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</si>
  <si>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</si>
  <si>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</si>
  <si>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</si>
  <si>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</si>
  <si>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</si>
  <si>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</si>
  <si>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</si>
  <si>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</si>
  <si>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</si>
  <si>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</si>
  <si>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</si>
  <si>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</si>
  <si>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</si>
  <si>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</si>
  <si>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</si>
  <si>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</si>
  <si>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</si>
  <si>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</si>
  <si>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</si>
  <si>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</si>
  <si>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</si>
  <si>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</si>
  <si>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</si>
  <si>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</si>
  <si>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</si>
  <si>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</si>
  <si>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</si>
  <si>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</si>
  <si>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</si>
  <si>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</si>
  <si>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</si>
  <si>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</si>
  <si>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</si>
  <si>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</si>
  <si>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</si>
  <si>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</si>
  <si>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</si>
  <si>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</si>
  <si>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</si>
  <si>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</si>
  <si>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</si>
  <si>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</si>
  <si>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</si>
  <si>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</si>
  <si>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</si>
  <si>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</si>
  <si>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</si>
  <si>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</si>
  <si>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</si>
  <si>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</si>
  <si>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</si>
  <si>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</si>
  <si>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</si>
  <si>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</si>
  <si>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</si>
  <si>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</si>
  <si>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</si>
  <si>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</si>
  <si>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</si>
  <si>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</si>
  <si>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</si>
  <si>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</si>
  <si>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</si>
  <si>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</si>
  <si>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</si>
  <si>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</si>
  <si>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</si>
  <si>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</si>
  <si>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</si>
  <si>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</si>
  <si>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</si>
  <si>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</si>
  <si>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</si>
  <si>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</si>
  <si>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</si>
  <si>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</si>
  <si>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</si>
  <si>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</si>
  <si>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</si>
  <si>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</si>
  <si>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</si>
  <si>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</si>
  <si>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</si>
  <si>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</si>
  <si>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</si>
  <si>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</si>
  <si>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</si>
  <si>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</si>
  <si>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</si>
  <si>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</si>
  <si>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</si>
  <si>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</si>
  <si>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</si>
  <si>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</si>
  <si>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</si>
  <si>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</si>
  <si>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</si>
  <si>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</si>
  <si>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</si>
  <si>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</si>
  <si>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</si>
  <si>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</si>
  <si>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</si>
  <si>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</si>
  <si>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</si>
  <si>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</si>
  <si>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</si>
  <si>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</si>
  <si>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</si>
  <si>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</si>
  <si>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</si>
  <si>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</si>
  <si>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</si>
  <si>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</si>
  <si>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</si>
  <si>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</si>
  <si>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</si>
  <si>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</si>
  <si>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</si>
  <si>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</si>
  <si>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</si>
  <si>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</si>
  <si>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</si>
  <si>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</si>
  <si>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</si>
  <si>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</si>
  <si>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</si>
  <si>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</si>
  <si>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</si>
  <si>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</si>
  <si>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</si>
  <si>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</si>
  <si>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</si>
  <si>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</si>
  <si>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</si>
  <si>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</si>
  <si>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</si>
  <si>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</si>
  <si>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</si>
  <si>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</si>
  <si>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</si>
  <si>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</si>
  <si>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</si>
  <si>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</si>
  <si>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</si>
  <si>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</si>
  <si>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</si>
  <si>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</si>
  <si>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</si>
  <si>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</si>
  <si>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</si>
  <si>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</si>
  <si>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</si>
  <si>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</si>
  <si>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</si>
  <si>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</si>
  <si>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</si>
  <si>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</si>
  <si>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</si>
  <si>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</si>
  <si>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</si>
  <si>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</si>
  <si>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</si>
  <si>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</si>
  <si>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</si>
  <si>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</si>
  <si>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</si>
  <si>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</si>
  <si>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</si>
  <si>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</si>
  <si>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</si>
  <si>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</si>
  <si>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</si>
  <si>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</si>
  <si>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</si>
  <si>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</si>
  <si>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</si>
  <si>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</si>
  <si>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</si>
  <si>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</si>
  <si>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</si>
  <si>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</si>
  <si>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</si>
  <si>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</si>
  <si>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</si>
  <si>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</si>
  <si>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</si>
  <si>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</si>
  <si>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</si>
  <si>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</si>
  <si>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</si>
  <si>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</si>
  <si>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</si>
  <si>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</si>
  <si>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</si>
  <si>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</si>
  <si>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</si>
  <si>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</si>
  <si>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</si>
  <si>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</si>
  <si>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</si>
  <si>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</si>
  <si>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</si>
  <si>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</si>
  <si>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</si>
  <si>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</si>
  <si>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</si>
  <si>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</si>
  <si>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</si>
  <si>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</si>
  <si>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</si>
  <si>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</si>
  <si>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</si>
  <si>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</si>
  <si>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</si>
  <si>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</si>
  <si>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</si>
  <si>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</si>
  <si>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</si>
  <si>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</si>
  <si>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</si>
  <si>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</si>
  <si>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</si>
  <si>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</si>
  <si>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</si>
  <si>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</si>
  <si>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</si>
  <si>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</si>
  <si>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</si>
  <si>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</si>
  <si>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</si>
  <si>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</si>
  <si>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</si>
  <si>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</si>
  <si>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</si>
  <si>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</si>
  <si>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</si>
  <si>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</si>
  <si>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</si>
  <si>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</si>
  <si>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</si>
  <si>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</si>
  <si>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</si>
  <si>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</si>
  <si>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</si>
  <si>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</si>
  <si>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</si>
  <si>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</si>
  <si>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</si>
  <si>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</si>
  <si>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</si>
  <si>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</si>
  <si>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</si>
  <si>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</si>
  <si>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</si>
  <si>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</si>
  <si>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</si>
  <si>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</si>
  <si>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</si>
  <si>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</si>
  <si>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</si>
  <si>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</si>
  <si>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</si>
  <si>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</si>
  <si>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</si>
  <si>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</si>
  <si>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</si>
  <si>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</si>
  <si>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</si>
  <si>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</si>
  <si>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</si>
  <si>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</si>
  <si>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</si>
  <si>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</si>
  <si>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</si>
  <si>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</si>
  <si>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</si>
  <si>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</si>
  <si>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</si>
  <si>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</si>
  <si>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</si>
  <si>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</si>
  <si>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</si>
  <si>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</si>
  <si>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</si>
  <si>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</si>
  <si>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</si>
  <si>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</si>
  <si>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</si>
  <si>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</si>
  <si>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</si>
  <si>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</si>
  <si>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</si>
  <si>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</si>
  <si>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</si>
  <si>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</si>
  <si>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</si>
  <si>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</si>
  <si>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</si>
  <si>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</si>
  <si>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</si>
  <si>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</si>
  <si>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</si>
  <si>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</si>
  <si>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</si>
  <si>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</si>
  <si>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</si>
  <si>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</si>
  <si>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</si>
  <si>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</si>
  <si>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</si>
  <si>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</si>
  <si>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</si>
  <si>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</si>
  <si>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</si>
  <si>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</si>
  <si>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</si>
  <si>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</si>
  <si>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</si>
  <si>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</si>
  <si>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</si>
  <si>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</si>
  <si>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</si>
  <si>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</si>
  <si>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</si>
  <si>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</si>
  <si>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</si>
  <si>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</si>
  <si>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</si>
  <si>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</si>
  <si>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</si>
  <si>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</si>
  <si>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</si>
  <si>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</si>
  <si>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</si>
  <si>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</si>
  <si>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</si>
  <si>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</si>
  <si>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</si>
  <si>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</si>
  <si>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</si>
  <si>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</si>
  <si>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</si>
  <si>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</si>
  <si>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</si>
  <si>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</si>
  <si>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</si>
  <si>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</si>
  <si>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</si>
  <si>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</si>
  <si>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</si>
  <si>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</si>
  <si>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</si>
  <si>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</si>
  <si>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</si>
  <si>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</si>
  <si>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</si>
  <si>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</si>
  <si>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</si>
  <si>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</si>
  <si>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</si>
  <si>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</si>
  <si>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</si>
  <si>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</si>
  <si>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</si>
  <si>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</si>
  <si>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</si>
  <si>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</si>
  <si>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</si>
  <si>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</si>
  <si>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</si>
  <si>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</si>
  <si>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</si>
  <si>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</si>
  <si>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</si>
  <si>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</si>
  <si>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</si>
  <si>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</si>
  <si>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</si>
  <si>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</si>
  <si>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</si>
  <si>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</si>
  <si>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</si>
  <si>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</si>
  <si>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</si>
  <si>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</si>
  <si>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</si>
  <si>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</si>
  <si>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</si>
  <si>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</si>
  <si>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</si>
  <si>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</si>
  <si>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</si>
  <si>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</si>
  <si>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</si>
  <si>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</si>
  <si>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</si>
  <si>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</si>
  <si>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</si>
  <si>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</si>
  <si>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</si>
  <si>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</si>
  <si>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</si>
  <si>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</si>
  <si>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</si>
  <si>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</si>
  <si>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</si>
  <si>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</si>
  <si>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</si>
  <si>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</si>
  <si>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</si>
  <si>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</si>
  <si>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</si>
  <si>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</si>
  <si>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</si>
  <si>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</si>
  <si>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</si>
  <si>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</si>
  <si>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</si>
  <si>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</si>
  <si>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</si>
  <si>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</si>
  <si>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</si>
  <si>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</si>
  <si>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</si>
  <si>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</si>
  <si>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</si>
  <si>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</si>
  <si>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</si>
  <si>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</si>
  <si>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</si>
  <si>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</si>
  <si>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</si>
  <si>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</si>
  <si>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</si>
  <si>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</si>
  <si>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</si>
  <si>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</si>
  <si>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</si>
  <si>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</si>
  <si>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</si>
  <si>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</si>
  <si>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</si>
  <si>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</si>
  <si>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</si>
  <si>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</si>
  <si>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</si>
  <si>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</si>
  <si>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</si>
  <si>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</si>
  <si>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</si>
  <si>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</si>
  <si>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</si>
  <si>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</si>
  <si>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</si>
  <si>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</si>
  <si>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</si>
  <si>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</si>
  <si>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</si>
  <si>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</si>
  <si>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</si>
  <si>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</si>
  <si>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</si>
  <si>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</si>
  <si>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</si>
  <si>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</si>
  <si>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</si>
  <si>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</si>
  <si>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</si>
  <si>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</si>
  <si>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</si>
  <si>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</si>
  <si>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</si>
  <si>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</si>
  <si>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</si>
  <si>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</si>
  <si>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</si>
  <si>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</si>
  <si>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</si>
  <si>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</si>
  <si>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</si>
  <si>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</si>
  <si>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</si>
  <si>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</si>
  <si>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</si>
  <si>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</si>
  <si>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</si>
  <si>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</si>
  <si>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</si>
  <si>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</si>
  <si>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</si>
  <si>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</si>
  <si>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</si>
  <si>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</si>
  <si>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</si>
  <si>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</si>
  <si>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</si>
  <si>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</si>
  <si>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</si>
  <si>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</si>
  <si>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</si>
  <si>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</si>
  <si>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</si>
  <si>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</si>
  <si>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</si>
  <si>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</si>
  <si>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</si>
  <si>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</si>
  <si>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</si>
  <si>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</si>
  <si>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</si>
  <si>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</si>
  <si>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</si>
  <si>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</si>
  <si>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</si>
  <si>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</si>
  <si>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</si>
  <si>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</si>
  <si>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</si>
  <si>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</si>
  <si>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</si>
  <si>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</si>
  <si>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</si>
  <si>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</si>
  <si>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</si>
  <si>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</si>
  <si>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</si>
  <si>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</si>
  <si>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</si>
  <si>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</si>
  <si>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</si>
  <si>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</si>
  <si>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</si>
  <si>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</si>
  <si>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</si>
  <si>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</si>
  <si>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</si>
  <si>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</si>
  <si>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</si>
  <si>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</si>
  <si>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</si>
  <si>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</si>
  <si>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</si>
  <si>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</si>
  <si>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</si>
  <si>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</si>
  <si>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</si>
  <si>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</si>
  <si>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</si>
  <si>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</si>
  <si>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</si>
  <si>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</si>
  <si>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</si>
  <si>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</si>
  <si>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</si>
  <si>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</si>
  <si>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</si>
  <si>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</si>
  <si>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</si>
  <si>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</si>
  <si>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</si>
  <si>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</si>
  <si>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</si>
  <si>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</si>
  <si>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</si>
  <si>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</si>
  <si>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</si>
  <si>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</si>
  <si>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</si>
  <si>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</si>
  <si>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</si>
  <si>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</si>
  <si>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</si>
  <si>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</si>
  <si>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</si>
  <si>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</si>
  <si>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</si>
  <si>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</si>
  <si>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</si>
  <si>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</si>
  <si>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</si>
  <si>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</si>
  <si>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</si>
  <si>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</si>
  <si>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</si>
  <si>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</si>
  <si>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</si>
  <si>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</si>
  <si>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</si>
  <si>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</si>
  <si>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</si>
  <si>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</si>
  <si>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</si>
  <si>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</si>
  <si>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</si>
  <si>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</si>
  <si>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</si>
  <si>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</si>
  <si>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</si>
  <si>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</si>
  <si>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</si>
  <si>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</si>
  <si>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</si>
  <si>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</si>
  <si>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</si>
  <si>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</si>
  <si>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</si>
  <si>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</si>
  <si>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</si>
  <si>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</si>
  <si>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</si>
  <si>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</si>
  <si>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</si>
  <si>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</si>
  <si>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</si>
  <si>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</si>
  <si>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</si>
  <si>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</si>
  <si>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</si>
  <si>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</si>
  <si>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</si>
  <si>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</si>
  <si>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</si>
  <si>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</si>
  <si>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</si>
  <si>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</si>
  <si>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</si>
  <si>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</si>
  <si>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</si>
  <si>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</si>
  <si>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</si>
  <si>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</si>
  <si>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</si>
  <si>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</si>
  <si>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</si>
  <si>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</si>
  <si>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</si>
  <si>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</si>
  <si>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</si>
  <si>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</si>
  <si>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</si>
  <si>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</si>
  <si>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</si>
  <si>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</si>
  <si>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</si>
  <si>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</si>
  <si>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</si>
  <si>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</si>
  <si>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</si>
  <si>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</si>
  <si>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</si>
  <si>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</si>
  <si>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</si>
  <si>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</si>
  <si>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</si>
  <si>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</si>
  <si>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</si>
  <si>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</si>
  <si>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</si>
  <si>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</si>
  <si>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</si>
  <si>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</si>
  <si>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</si>
  <si>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</si>
  <si>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</si>
  <si>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</si>
  <si>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</si>
  <si>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</si>
  <si>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</si>
  <si>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</si>
  <si>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</si>
  <si>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</si>
  <si>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</si>
  <si>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</si>
  <si>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</si>
  <si>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</si>
  <si>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</si>
  <si>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</si>
  <si>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</si>
  <si>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</si>
  <si>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</si>
  <si>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</si>
  <si>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</si>
  <si>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</si>
  <si>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</si>
  <si>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</si>
  <si>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</si>
  <si>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</si>
  <si>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</si>
  <si>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</si>
  <si>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</si>
  <si>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</si>
  <si>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</si>
  <si>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</si>
  <si>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</si>
  <si>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</si>
  <si>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</si>
  <si>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</si>
  <si>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</si>
  <si>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</si>
  <si>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</si>
  <si>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</si>
  <si>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</si>
  <si>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</si>
  <si>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</si>
  <si>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</si>
  <si>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</si>
  <si>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</si>
  <si>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</si>
  <si>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</si>
  <si>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</si>
  <si>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</si>
  <si>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</si>
  <si>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</si>
  <si>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</si>
  <si>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</si>
  <si>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</si>
  <si>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</si>
  <si>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</si>
  <si>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</si>
  <si>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</si>
  <si>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</si>
  <si>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</si>
  <si>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</si>
  <si>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</si>
  <si>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</si>
  <si>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</si>
  <si>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</si>
  <si>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</si>
  <si>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</si>
  <si>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</si>
  <si>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</si>
  <si>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</si>
  <si>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</si>
  <si>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</si>
  <si>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</si>
  <si>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</si>
  <si>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</si>
  <si>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</si>
  <si>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</si>
  <si>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</si>
  <si>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</si>
  <si>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</si>
  <si>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</si>
  <si>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</si>
  <si>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</si>
  <si>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</si>
  <si>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</si>
  <si>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</si>
  <si>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</si>
  <si>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</si>
  <si>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</si>
  <si>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</si>
  <si>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</si>
  <si>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</si>
  <si>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</si>
  <si>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</si>
  <si>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</si>
  <si>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</si>
  <si>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</si>
  <si>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</si>
  <si>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</si>
  <si>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</si>
  <si>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</si>
  <si>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</si>
  <si>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</si>
  <si>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</si>
  <si>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</si>
  <si>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</si>
  <si>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</si>
  <si>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</si>
  <si>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</si>
  <si>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</si>
  <si>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</si>
  <si>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</si>
  <si>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</si>
  <si>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</si>
  <si>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</si>
  <si>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</si>
  <si>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</si>
  <si>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</si>
  <si>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</si>
  <si>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</si>
  <si>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</si>
  <si>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</si>
  <si>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</si>
  <si>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</si>
  <si>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</si>
  <si>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</si>
  <si>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</si>
  <si>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</si>
  <si>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</si>
  <si>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</si>
  <si>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</si>
  <si>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</si>
  <si>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</si>
  <si>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</si>
  <si>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</si>
  <si>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</si>
  <si>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</si>
  <si>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</si>
  <si>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</si>
  <si>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</si>
  <si>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</si>
  <si>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</si>
  <si>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</si>
  <si>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</si>
  <si>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</si>
  <si>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</si>
  <si>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</si>
  <si>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</si>
  <si>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</si>
  <si>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</si>
  <si>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</si>
  <si>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</si>
  <si>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</si>
  <si>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</si>
  <si>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</si>
  <si>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</si>
  <si>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</si>
  <si>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</si>
  <si>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</si>
  <si>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</si>
  <si>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</si>
  <si>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</si>
  <si>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</si>
  <si>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</si>
  <si>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</si>
  <si>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</si>
  <si>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</si>
  <si>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</si>
  <si>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</si>
  <si>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</si>
  <si>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</si>
  <si>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</si>
  <si>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</si>
  <si>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</si>
  <si>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</si>
  <si>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</si>
  <si>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</si>
  <si>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</si>
  <si>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</si>
  <si>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</si>
  <si>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</si>
  <si>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</si>
  <si>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</si>
  <si>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</si>
  <si>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</si>
  <si>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</si>
  <si>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</si>
  <si>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</si>
  <si>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</si>
  <si>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</si>
  <si>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</si>
  <si>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</si>
  <si>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</si>
  <si>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</si>
  <si>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</si>
  <si>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</si>
  <si>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</si>
  <si>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</si>
  <si>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</si>
  <si>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</si>
  <si>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</si>
  <si>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</si>
  <si>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</si>
  <si>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</si>
  <si>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</si>
  <si>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</si>
  <si>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</si>
  <si>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</si>
  <si>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</si>
  <si>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</si>
  <si>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</si>
  <si>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</si>
  <si>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</si>
  <si>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</si>
  <si>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</si>
  <si>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</si>
  <si>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</si>
  <si>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</si>
  <si>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</si>
  <si>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</si>
  <si>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</si>
  <si>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</si>
  <si>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</si>
  <si>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</si>
  <si>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</si>
  <si>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</si>
  <si>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</si>
  <si>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</si>
  <si>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</si>
  <si>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</si>
  <si>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</si>
  <si>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</si>
  <si>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</si>
  <si>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</si>
  <si>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</si>
  <si>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</si>
  <si>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</si>
  <si>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</si>
  <si>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</si>
  <si>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</si>
  <si>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</si>
  <si>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</si>
  <si>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</si>
  <si>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</si>
  <si>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</si>
  <si>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</si>
  <si>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</si>
  <si>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</si>
  <si>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</si>
  <si>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</si>
  <si>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</si>
  <si>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</si>
  <si>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</si>
  <si>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</si>
  <si>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</si>
  <si>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</si>
  <si>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</si>
  <si>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</si>
  <si>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</si>
  <si>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</si>
  <si>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</si>
  <si>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</si>
  <si>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</si>
  <si>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</si>
  <si>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</si>
  <si>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</si>
  <si>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</si>
  <si>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</si>
  <si>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</si>
  <si>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</si>
  <si>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</si>
  <si>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</si>
  <si>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</si>
  <si>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</si>
  <si>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</si>
  <si>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</si>
  <si>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</si>
  <si>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</si>
  <si>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</si>
  <si>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</si>
  <si>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</si>
  <si>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</si>
  <si>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</si>
  <si>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</si>
  <si>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</si>
  <si>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</si>
  <si>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</si>
  <si>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</si>
  <si>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</si>
  <si>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</si>
  <si>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</si>
  <si>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</si>
  <si>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</si>
  <si>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</si>
  <si>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</si>
  <si>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</si>
  <si>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</si>
  <si>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</si>
  <si>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</si>
  <si>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</si>
  <si>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</si>
  <si>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</si>
  <si>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</si>
  <si>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</si>
  <si>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</si>
  <si>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</si>
  <si>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</si>
  <si>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</si>
  <si>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</si>
  <si>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</si>
  <si>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</si>
  <si>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</si>
  <si>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</si>
  <si>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</si>
  <si>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</si>
  <si>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</si>
  <si>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</si>
  <si>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</si>
  <si>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</si>
  <si>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</si>
  <si>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</si>
  <si>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</si>
  <si>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</si>
  <si>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</si>
  <si>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</si>
  <si>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</si>
  <si>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</si>
  <si>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</si>
  <si>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</si>
  <si>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</si>
  <si>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</si>
  <si>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</si>
  <si>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</si>
  <si>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</si>
  <si>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</si>
  <si>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</si>
  <si>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</si>
  <si>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</si>
  <si>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</si>
  <si>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</si>
  <si>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</si>
  <si>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</si>
  <si>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</si>
  <si>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</si>
  <si>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</si>
  <si>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</si>
  <si>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</si>
  <si>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</si>
  <si>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</si>
  <si>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</si>
  <si>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</si>
  <si>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</si>
  <si>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</si>
  <si>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</si>
  <si>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</si>
  <si>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</si>
  <si>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</si>
  <si>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</si>
  <si>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</si>
  <si>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</si>
  <si>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</si>
  <si>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</si>
  <si>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</si>
  <si>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</si>
  <si>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</si>
  <si>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</si>
  <si>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</si>
  <si>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</si>
  <si>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</si>
  <si>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</si>
  <si>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</si>
  <si>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</si>
  <si>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</si>
  <si>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</si>
  <si>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</si>
  <si>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</si>
  <si>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</si>
  <si>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</si>
  <si>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</si>
  <si>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</si>
  <si>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</si>
  <si>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</si>
  <si>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</si>
  <si>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</si>
  <si>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</si>
  <si>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</si>
  <si>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</si>
  <si>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</si>
  <si>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</si>
  <si>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</si>
  <si>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</si>
  <si>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</si>
  <si>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</si>
  <si>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</si>
  <si>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</si>
  <si>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</si>
  <si>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</si>
  <si>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</si>
  <si>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</si>
  <si>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</si>
  <si>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</si>
  <si>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</si>
  <si>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</si>
  <si>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</si>
  <si>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</si>
  <si>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</si>
  <si>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</si>
  <si>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</si>
  <si>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</si>
  <si>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</si>
  <si>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</si>
  <si>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</si>
  <si>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</si>
  <si>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</si>
  <si>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</si>
  <si>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</si>
  <si>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</si>
  <si>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</si>
  <si>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</si>
  <si>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</si>
  <si>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</si>
  <si>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</si>
  <si>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</si>
  <si>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</si>
  <si>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</si>
  <si>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</si>
  <si>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</si>
  <si>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</si>
  <si>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</si>
  <si>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</si>
  <si>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</si>
  <si>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</si>
  <si>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</si>
  <si>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</si>
  <si>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</si>
  <si>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</si>
  <si>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</si>
  <si>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</si>
  <si>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</si>
  <si>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</si>
  <si>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</si>
  <si>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</si>
  <si>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</si>
  <si>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</si>
  <si>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</si>
  <si>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</si>
  <si>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</si>
  <si>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</si>
  <si>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</si>
  <si>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</si>
  <si>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</si>
  <si>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</si>
  <si>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</si>
  <si>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</si>
  <si>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</si>
  <si>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</si>
  <si>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</si>
  <si>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</si>
  <si>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</si>
  <si>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</si>
  <si>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</si>
  <si>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</si>
  <si>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</si>
  <si>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</si>
  <si>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</si>
  <si>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</si>
  <si>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</si>
  <si>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</si>
  <si>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</si>
  <si>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</si>
  <si>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</si>
  <si>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</si>
  <si>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</si>
  <si>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</si>
  <si>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</si>
  <si>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</si>
  <si>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</si>
  <si>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</si>
  <si>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</si>
  <si>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</si>
  <si>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</si>
  <si>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</si>
  <si>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</si>
  <si>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</si>
  <si>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</si>
  <si>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</si>
  <si>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</si>
  <si>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</si>
  <si>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</si>
  <si>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</si>
  <si>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</si>
  <si>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</si>
  <si>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</si>
  <si>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</si>
  <si>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</si>
  <si>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</si>
  <si>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</si>
  <si>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</si>
  <si>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</si>
  <si>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</si>
  <si>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</si>
  <si>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</si>
  <si>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</si>
  <si>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</si>
  <si>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</si>
  <si>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</si>
  <si>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</si>
  <si>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</si>
  <si>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</si>
  <si>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</si>
  <si>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</si>
  <si>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</si>
  <si>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</si>
  <si>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</si>
  <si>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</si>
  <si>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</si>
  <si>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</si>
  <si>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</si>
  <si>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</si>
  <si>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</si>
  <si>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</si>
  <si>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</si>
  <si>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</si>
  <si>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</si>
  <si>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</si>
  <si>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</si>
  <si>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</si>
  <si>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</si>
  <si>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</si>
  <si>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</si>
  <si>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</si>
  <si>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</si>
  <si>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</si>
  <si>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</si>
  <si>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</si>
  <si>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</si>
  <si>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</si>
  <si>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</si>
  <si>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</si>
  <si>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</si>
  <si>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</si>
  <si>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</si>
  <si>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</si>
  <si>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</si>
  <si>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</si>
  <si>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</si>
  <si>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</si>
  <si>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</si>
  <si>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</si>
  <si>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</si>
  <si>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</si>
  <si>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</si>
  <si>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</si>
  <si>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</si>
  <si>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</si>
  <si>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</si>
  <si>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</si>
  <si>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</si>
  <si>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</si>
  <si>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</si>
  <si>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</si>
  <si>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</si>
  <si>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</si>
  <si>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</si>
  <si>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</si>
  <si>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</si>
  <si>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</si>
  <si>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</si>
  <si>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</si>
  <si>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</si>
  <si>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</si>
  <si>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</si>
  <si>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</si>
  <si>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</si>
  <si>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</si>
  <si>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</si>
  <si>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</si>
  <si>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</si>
  <si>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</si>
  <si>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</si>
  <si>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</si>
  <si>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</si>
  <si>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</si>
  <si>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</si>
  <si>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</si>
  <si>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</si>
  <si>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</si>
  <si>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</si>
  <si>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</si>
  <si>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</si>
  <si>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</si>
  <si>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</si>
  <si>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</si>
  <si>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</si>
  <si>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</si>
  <si>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</si>
  <si>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</si>
  <si>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</si>
  <si>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</si>
  <si>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</si>
  <si>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</si>
  <si>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</si>
  <si>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</si>
  <si>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</si>
  <si>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</si>
  <si>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</si>
  <si>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</si>
  <si>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</si>
  <si>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</si>
  <si>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</si>
  <si>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</si>
  <si>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</si>
  <si>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</si>
  <si>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</si>
  <si>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</si>
  <si>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</si>
  <si>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</si>
  <si>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</si>
  <si>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</si>
  <si>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</si>
  <si>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</si>
  <si>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</si>
  <si>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</si>
  <si>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</si>
  <si>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</si>
  <si>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</si>
  <si>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</si>
  <si>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</si>
  <si>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</si>
  <si>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</si>
  <si>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</si>
  <si>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</si>
  <si>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</si>
  <si>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</si>
  <si>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</si>
  <si>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</si>
  <si>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</si>
  <si>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</si>
  <si>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</si>
  <si>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</si>
  <si>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</si>
  <si>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</si>
  <si>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</si>
  <si>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</si>
  <si>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</si>
  <si>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</si>
  <si>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</si>
  <si>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</si>
  <si>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</si>
  <si>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</si>
  <si>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</si>
  <si>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</si>
  <si>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</si>
  <si>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</si>
  <si>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</si>
  <si>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</si>
  <si>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</si>
  <si>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</si>
  <si>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</si>
  <si>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</si>
  <si>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</si>
  <si>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</si>
  <si>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</si>
  <si>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</si>
  <si>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</si>
  <si>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</si>
  <si>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</si>
  <si>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</si>
  <si>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</si>
  <si>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</si>
  <si>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</si>
  <si>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</si>
  <si>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</si>
  <si>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</si>
  <si>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</si>
  <si>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</si>
  <si>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</si>
  <si>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</si>
  <si>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</si>
  <si>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</si>
  <si>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</si>
  <si>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</si>
  <si>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</si>
  <si>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</si>
  <si>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</si>
  <si>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</si>
  <si>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</si>
  <si>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</si>
  <si>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</si>
  <si>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</si>
  <si>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</si>
  <si>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</si>
  <si>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</si>
  <si>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</si>
  <si>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</si>
  <si>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</si>
  <si>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</si>
  <si>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</si>
  <si>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</si>
  <si>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</si>
  <si>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</si>
  <si>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</si>
  <si>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</si>
  <si>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</si>
  <si>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</si>
  <si>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</si>
  <si>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</si>
  <si>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</si>
  <si>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</si>
  <si>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</si>
  <si>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</si>
  <si>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</si>
  <si>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</si>
  <si>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</si>
  <si>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</si>
  <si>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</si>
  <si>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</si>
  <si>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</si>
  <si>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</si>
  <si>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</si>
  <si>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</si>
  <si>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</si>
  <si>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</si>
  <si>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</si>
  <si>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</si>
  <si>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</si>
  <si>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</si>
  <si>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</si>
  <si>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</si>
  <si>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</si>
  <si>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</si>
  <si>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</si>
  <si>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</si>
  <si>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</si>
  <si>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</si>
  <si>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</si>
  <si>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</si>
  <si>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</si>
  <si>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</si>
  <si>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</si>
  <si>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</si>
  <si>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</si>
  <si>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</si>
  <si>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</si>
  <si>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</si>
  <si>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</si>
  <si>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</si>
  <si>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</si>
  <si>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</si>
  <si>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</si>
  <si>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</si>
  <si>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</si>
  <si>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</si>
  <si>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</si>
  <si>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</si>
  <si>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</si>
  <si>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</si>
  <si>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</si>
  <si>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</si>
  <si>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</si>
  <si>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</si>
  <si>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</si>
  <si>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</si>
  <si>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</si>
  <si>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</si>
  <si>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</si>
  <si>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</si>
  <si>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</si>
  <si>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</si>
  <si>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</si>
  <si>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</si>
  <si>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</si>
  <si>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</si>
  <si>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</si>
  <si>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</si>
  <si>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</si>
  <si>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</si>
  <si>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</si>
  <si>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</si>
  <si>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</si>
  <si>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</si>
  <si>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</si>
  <si>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</si>
  <si>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</si>
  <si>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</si>
  <si>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</si>
  <si>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</si>
  <si>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</si>
  <si>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</si>
  <si>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</si>
  <si>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</si>
  <si>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</si>
  <si>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</si>
  <si>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</si>
  <si>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</si>
  <si>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</si>
  <si>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</si>
  <si>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</si>
  <si>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</si>
  <si>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</si>
  <si>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</si>
  <si>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</si>
  <si>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</si>
  <si>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</si>
  <si>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</si>
  <si>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</si>
  <si>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</si>
  <si>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</si>
  <si>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</si>
  <si>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</si>
  <si>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</si>
  <si>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</si>
  <si>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</si>
  <si>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</si>
  <si>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</si>
  <si>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</si>
  <si>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</si>
  <si>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</si>
  <si>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</si>
  <si>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</si>
  <si>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</si>
  <si>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</si>
  <si>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</si>
  <si>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</si>
  <si>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</si>
  <si>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</si>
  <si>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</si>
  <si>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</si>
  <si>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</si>
  <si>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</si>
  <si>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</si>
  <si>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</si>
  <si>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</si>
  <si>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</si>
  <si>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</si>
  <si>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</si>
  <si>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</si>
  <si>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</si>
  <si>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</si>
  <si>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</si>
  <si>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</si>
  <si>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</si>
  <si>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</si>
  <si>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</si>
  <si>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</si>
  <si>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</si>
  <si>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</si>
  <si>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</si>
  <si>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</si>
  <si>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</si>
  <si>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</si>
  <si>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</si>
  <si>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</si>
  <si>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</si>
  <si>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</si>
  <si>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</si>
  <si>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</si>
  <si>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</si>
  <si>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</si>
  <si>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</si>
  <si>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</si>
  <si>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</si>
  <si>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</si>
  <si>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</si>
  <si>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</si>
  <si>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</si>
  <si>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</si>
  <si>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</si>
  <si>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</si>
  <si>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</si>
  <si>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</si>
  <si>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</si>
  <si>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</si>
  <si>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</si>
  <si>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</si>
  <si>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</si>
  <si>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</si>
  <si>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</si>
  <si>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</si>
  <si>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</si>
  <si>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</si>
  <si>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</si>
  <si>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</si>
  <si>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</si>
  <si>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</si>
  <si>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</si>
  <si>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</si>
  <si>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</si>
  <si>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</si>
  <si>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</si>
  <si>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</si>
  <si>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</si>
  <si>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</si>
  <si>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</si>
  <si>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</si>
  <si>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</si>
  <si>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</si>
  <si>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</si>
  <si>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</si>
  <si>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</si>
  <si>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</si>
  <si>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</si>
  <si>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</si>
  <si>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</si>
  <si>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</si>
  <si>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</si>
  <si>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</si>
  <si>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</si>
  <si>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</si>
  <si>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</si>
  <si>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</si>
  <si>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</si>
  <si>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</si>
  <si>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</si>
  <si>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</si>
  <si>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</si>
  <si>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</si>
  <si>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</si>
  <si>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</si>
  <si>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</si>
  <si>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</si>
  <si>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</si>
  <si>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</si>
  <si>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</si>
  <si>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</si>
  <si>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</si>
  <si>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</si>
  <si>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</si>
  <si>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</si>
  <si>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</si>
  <si>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</si>
  <si>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</si>
  <si>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</si>
  <si>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</si>
  <si>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</si>
  <si>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</si>
  <si>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</si>
  <si>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</si>
  <si>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</si>
  <si>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</si>
  <si>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</si>
  <si>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</si>
  <si>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</si>
  <si>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</si>
  <si>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</si>
  <si>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</si>
  <si>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</si>
  <si>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</si>
  <si>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</si>
  <si>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</si>
  <si>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</si>
  <si>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</si>
  <si>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</si>
  <si>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</si>
  <si>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</si>
  <si>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</si>
  <si>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</si>
  <si>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</si>
  <si>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</si>
  <si>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</si>
  <si>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</si>
  <si>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</si>
  <si>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</si>
  <si>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</si>
  <si>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</si>
  <si>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</si>
  <si>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</si>
  <si>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</si>
  <si>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</si>
  <si>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</si>
  <si>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</si>
  <si>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</si>
  <si>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</si>
  <si>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</si>
  <si>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</si>
  <si>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</si>
  <si>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</si>
  <si>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</si>
  <si>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</si>
  <si>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</si>
  <si>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</si>
  <si>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</si>
  <si>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</si>
  <si>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</si>
  <si>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</si>
  <si>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</si>
  <si>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</si>
  <si>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</si>
  <si>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</si>
  <si>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</si>
  <si>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</si>
  <si>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</si>
  <si>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</si>
  <si>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</si>
  <si>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</si>
  <si>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</si>
  <si>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</si>
  <si>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</si>
  <si>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</si>
  <si>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</si>
  <si>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</si>
  <si>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</si>
  <si>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</si>
  <si>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</si>
  <si>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</si>
  <si>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</si>
  <si>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</si>
  <si>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</si>
  <si>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</si>
  <si>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</si>
  <si>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</si>
  <si>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</si>
  <si>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</si>
  <si>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</si>
  <si>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</si>
  <si>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</si>
  <si>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</si>
  <si>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</si>
  <si>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</si>
  <si>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</si>
  <si>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</si>
  <si>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</si>
  <si>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</si>
  <si>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</si>
  <si>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</si>
  <si>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</si>
  <si>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</si>
  <si>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</si>
  <si>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</si>
  <si>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</si>
  <si>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</si>
  <si>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</si>
  <si>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</si>
  <si>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</si>
  <si>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</si>
  <si>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</si>
  <si>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</si>
  <si>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</si>
  <si>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</si>
  <si>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</si>
  <si>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</si>
  <si>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</si>
  <si>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</si>
  <si>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</si>
  <si>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</si>
  <si>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</si>
  <si>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</si>
  <si>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</si>
  <si>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</si>
  <si>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</si>
  <si>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</si>
  <si>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</si>
  <si>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</si>
  <si>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</si>
  <si>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</si>
  <si>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</si>
  <si>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</si>
  <si>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</si>
  <si>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</si>
  <si>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</si>
  <si>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</si>
  <si>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</si>
  <si>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</si>
  <si>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</si>
  <si>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</si>
  <si>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</si>
  <si>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</si>
  <si>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</si>
  <si>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</si>
  <si>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</si>
  <si>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</si>
  <si>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</si>
  <si>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</si>
  <si>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</si>
  <si>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</si>
  <si>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</si>
  <si>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</si>
  <si>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</si>
  <si>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</si>
  <si>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</si>
  <si>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</si>
  <si>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</si>
  <si>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</si>
  <si>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</si>
  <si>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</si>
  <si>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</si>
  <si>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</si>
  <si>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</si>
  <si>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</si>
  <si>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</si>
  <si>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</si>
  <si>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</si>
  <si>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</si>
  <si>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</si>
  <si>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</si>
  <si>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</si>
  <si>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</si>
  <si>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</si>
  <si>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</si>
  <si>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</si>
  <si>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</si>
  <si>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</si>
  <si>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</si>
  <si>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</si>
  <si>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</si>
  <si>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</si>
  <si>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</si>
  <si>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</si>
  <si>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</si>
  <si>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</si>
  <si>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</si>
  <si>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</si>
  <si>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</si>
  <si>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</si>
  <si>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</si>
  <si>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</si>
  <si>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</si>
  <si>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</si>
  <si>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</si>
  <si>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</si>
  <si>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</si>
  <si>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</si>
  <si>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</si>
  <si>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</si>
  <si>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</si>
  <si>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</si>
  <si>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</si>
  <si>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</si>
  <si>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</si>
  <si>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</si>
  <si>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</si>
  <si>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</si>
  <si>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</si>
  <si>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</si>
  <si>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</si>
  <si>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</si>
  <si>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</si>
  <si>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</si>
  <si>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</si>
  <si>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</si>
  <si>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</si>
  <si>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</si>
  <si>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</si>
  <si>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</si>
  <si>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</si>
  <si>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</si>
  <si>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</si>
  <si>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</si>
  <si>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</si>
  <si>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</si>
  <si>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</si>
  <si>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</si>
  <si>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</si>
  <si>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</si>
  <si>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</si>
  <si>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</si>
  <si>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</si>
  <si>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</si>
  <si>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</si>
  <si>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</si>
  <si>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</si>
  <si>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</si>
  <si>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</si>
  <si>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</si>
  <si>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</si>
  <si>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</si>
  <si>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</si>
  <si>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</si>
  <si>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</si>
  <si>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</si>
  <si>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</si>
  <si>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</si>
  <si>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</si>
  <si>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</si>
  <si>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</si>
  <si>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</si>
  <si>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</si>
  <si>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</si>
  <si>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</si>
  <si>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</si>
  <si>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</si>
  <si>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</si>
  <si>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</si>
  <si>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</si>
  <si>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</si>
  <si>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</si>
  <si>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</si>
  <si>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</si>
  <si>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</si>
  <si>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</si>
  <si>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</si>
  <si>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</si>
  <si>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</si>
  <si>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</si>
  <si>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</si>
  <si>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</si>
  <si>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</si>
  <si>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</si>
  <si>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</si>
  <si>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</si>
  <si>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</si>
  <si>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</si>
  <si>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</si>
  <si>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</si>
  <si>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</si>
  <si>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</si>
  <si>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</si>
  <si>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</si>
  <si>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</si>
  <si>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</si>
  <si>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</si>
  <si>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</si>
  <si>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</si>
  <si>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</si>
  <si>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</si>
  <si>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</si>
  <si>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</si>
  <si>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</si>
  <si>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</si>
  <si>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</si>
  <si>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</si>
  <si>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</si>
  <si>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</si>
  <si>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</si>
  <si>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</si>
  <si>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</si>
  <si>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</si>
  <si>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</si>
  <si>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</si>
  <si>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</si>
  <si>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</si>
  <si>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</si>
  <si>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</si>
  <si>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</si>
  <si>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</si>
  <si>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</si>
  <si>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</si>
  <si>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</si>
  <si>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</si>
  <si>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</si>
  <si>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</si>
  <si>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</si>
  <si>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</si>
  <si>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</si>
  <si>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</si>
  <si>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</si>
  <si>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</si>
  <si>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</si>
  <si>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</si>
  <si>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</si>
  <si>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</si>
  <si>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</si>
  <si>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</si>
  <si>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</si>
  <si>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</si>
  <si>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</si>
  <si>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</si>
  <si>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</si>
  <si>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</si>
  <si>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</si>
  <si>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</si>
  <si>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</si>
  <si>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</si>
  <si>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</si>
  <si>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</si>
  <si>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</si>
  <si>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</si>
  <si>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</si>
  <si>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</si>
  <si>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</si>
  <si>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</si>
  <si>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</si>
  <si>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</si>
  <si>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</si>
  <si>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</si>
  <si>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</si>
  <si>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</si>
  <si>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</si>
  <si>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</si>
  <si>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</si>
  <si>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</si>
  <si>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</si>
  <si>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</si>
  <si>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</si>
  <si>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</si>
  <si>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</si>
  <si>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</si>
  <si>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</si>
  <si>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</si>
  <si>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</si>
  <si>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</si>
  <si>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</si>
  <si>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</si>
  <si>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</si>
  <si>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</si>
  <si>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</si>
  <si>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</si>
  <si>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</si>
  <si>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</si>
  <si>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</si>
  <si>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</si>
  <si>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</si>
  <si>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</si>
  <si>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</si>
  <si>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</si>
  <si>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</si>
  <si>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</si>
  <si>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</si>
  <si>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</si>
  <si>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</si>
  <si>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</si>
  <si>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</si>
  <si>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</si>
  <si>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</si>
  <si>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</si>
  <si>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</si>
  <si>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</si>
  <si>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</si>
  <si>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</si>
  <si>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</si>
  <si>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</si>
  <si>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</si>
  <si>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</si>
  <si>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</si>
  <si>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</si>
  <si>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</si>
  <si>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</si>
  <si>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</si>
  <si>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</si>
  <si>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</si>
  <si>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</si>
  <si>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</si>
  <si>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</si>
  <si>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</si>
  <si>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</si>
  <si>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</si>
  <si>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</si>
  <si>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</si>
  <si>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</si>
  <si>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</si>
  <si>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</si>
  <si>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</si>
  <si>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</si>
  <si>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</si>
  <si>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</si>
  <si>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</si>
  <si>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</si>
  <si>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</si>
  <si>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</si>
  <si>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</si>
  <si>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</si>
  <si>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</si>
  <si>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</si>
  <si>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</si>
  <si>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</si>
  <si>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</si>
  <si>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</si>
  <si>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</si>
  <si>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</si>
  <si>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</si>
  <si>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</si>
  <si>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</si>
  <si>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</si>
  <si>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</si>
  <si>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</si>
  <si>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</si>
  <si>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</si>
  <si>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</si>
  <si>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</si>
  <si>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</si>
  <si>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</si>
  <si>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</si>
  <si>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</si>
  <si>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</si>
  <si>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</si>
  <si>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</si>
  <si>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</si>
  <si>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</si>
  <si>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</si>
  <si>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</si>
  <si>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</si>
  <si>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</si>
  <si>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</si>
  <si>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</si>
  <si>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</si>
  <si>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</si>
  <si>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</si>
  <si>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</si>
  <si>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</si>
  <si>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</si>
  <si>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</si>
  <si>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</si>
  <si>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</si>
  <si>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</si>
  <si>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</si>
  <si>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</si>
  <si>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</si>
  <si>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</si>
  <si>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</si>
  <si>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</si>
  <si>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</si>
  <si>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</si>
  <si>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</si>
  <si>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</si>
  <si>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</si>
  <si>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</si>
  <si>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</si>
  <si>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</si>
  <si>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</si>
  <si>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</si>
  <si>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</si>
  <si>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</si>
  <si>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</si>
  <si>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</si>
  <si>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</si>
  <si>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</si>
  <si>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</si>
  <si>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</si>
  <si>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</si>
  <si>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</si>
  <si>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</si>
  <si>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</si>
  <si>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</si>
  <si>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</si>
  <si>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</si>
  <si>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</si>
  <si>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</si>
  <si>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</si>
  <si>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</si>
  <si>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</si>
  <si>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</si>
  <si>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</si>
  <si>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</si>
  <si>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</si>
  <si>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</si>
  <si>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</si>
  <si>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</si>
  <si>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</si>
  <si>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</si>
  <si>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</si>
  <si>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</si>
  <si>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</si>
  <si>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</si>
  <si>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</si>
  <si>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</si>
  <si>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</si>
  <si>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</si>
  <si>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</si>
  <si>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</si>
  <si>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</si>
  <si>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</si>
  <si>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</si>
  <si>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</si>
  <si>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</si>
  <si>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</si>
  <si>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</si>
  <si>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</si>
  <si>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</si>
  <si>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</si>
  <si>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</si>
  <si>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</si>
  <si>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</si>
  <si>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</si>
  <si>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</si>
  <si>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</si>
  <si>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</si>
  <si>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</si>
  <si>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</si>
  <si>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</si>
  <si>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</si>
  <si>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</si>
  <si>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</si>
  <si>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</si>
  <si>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</si>
  <si>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</si>
  <si>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</si>
  <si>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</si>
  <si>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</si>
  <si>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</si>
  <si>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</si>
  <si>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</si>
  <si>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</si>
  <si>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</si>
  <si>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</si>
  <si>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</si>
  <si>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</si>
  <si>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</si>
  <si>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</si>
  <si>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</si>
  <si>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</si>
  <si>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</si>
  <si>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</si>
  <si>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</si>
  <si>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</si>
  <si>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</si>
  <si>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</si>
  <si>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</si>
  <si>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</si>
  <si>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</si>
  <si>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</si>
  <si>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</si>
  <si>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</si>
  <si>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</si>
  <si>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</si>
  <si>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</si>
  <si>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</si>
  <si>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</si>
  <si>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</si>
  <si>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</si>
  <si>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</si>
  <si>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</si>
  <si>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</si>
  <si>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</si>
  <si>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</si>
  <si>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</si>
  <si>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</si>
  <si>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</si>
  <si>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</si>
  <si>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</si>
  <si>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</si>
  <si>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</si>
  <si>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</si>
  <si>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</si>
  <si>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</si>
  <si>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</si>
  <si>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</si>
  <si>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</si>
  <si>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</si>
  <si>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</si>
  <si>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</si>
  <si>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</si>
  <si>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</si>
  <si>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</si>
  <si>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</si>
  <si>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</si>
  <si>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</si>
  <si>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</si>
  <si>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</si>
  <si>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</si>
  <si>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</si>
  <si>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</si>
  <si>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</si>
  <si>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</si>
  <si>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</si>
  <si>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</si>
  <si>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</si>
  <si>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</si>
  <si>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</si>
  <si>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</si>
  <si>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</si>
  <si>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</si>
  <si>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</si>
  <si>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</si>
  <si>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</si>
  <si>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</si>
  <si>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</si>
  <si>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</si>
  <si>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</si>
  <si>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</si>
  <si>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</si>
  <si>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</si>
  <si>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</si>
  <si>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</si>
  <si>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</si>
  <si>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</si>
  <si>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</si>
  <si>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</si>
  <si>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</si>
  <si>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</si>
  <si>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</si>
  <si>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</si>
  <si>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</si>
  <si>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</si>
  <si>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</si>
  <si>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</si>
  <si>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</si>
  <si>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</si>
  <si>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</si>
  <si>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</si>
  <si>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</si>
  <si>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</si>
  <si>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</si>
  <si>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</si>
  <si>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</si>
  <si>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</si>
  <si>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</si>
  <si>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</si>
  <si>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</si>
  <si>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</si>
  <si>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</si>
  <si>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</si>
  <si>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</si>
  <si>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</si>
  <si>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</si>
  <si>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</si>
  <si>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</si>
  <si>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</si>
  <si>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</si>
  <si>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</si>
  <si>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</si>
  <si>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</si>
  <si>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</si>
  <si>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</si>
  <si>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</si>
  <si>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</si>
  <si>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</si>
  <si>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</si>
  <si>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</si>
  <si>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</si>
  <si>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</si>
  <si>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</si>
  <si>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</si>
  <si>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</si>
  <si>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</si>
  <si>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</si>
  <si>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</si>
  <si>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</si>
  <si>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</si>
  <si>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</si>
  <si>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</si>
  <si>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</si>
  <si>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</si>
  <si>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</si>
  <si>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</si>
  <si>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</si>
  <si>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</si>
  <si>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</si>
  <si>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</si>
  <si>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</si>
  <si>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</si>
  <si>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</si>
  <si>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</si>
  <si>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</si>
  <si>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</si>
  <si>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</si>
  <si>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</si>
  <si>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</si>
  <si>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</si>
  <si>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</si>
  <si>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</si>
  <si>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</si>
  <si>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</si>
  <si>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</si>
  <si>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</si>
  <si>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</si>
  <si>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</si>
  <si>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</si>
  <si>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</si>
  <si>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</si>
  <si>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</si>
  <si>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</si>
  <si>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</si>
  <si>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</si>
  <si>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</si>
  <si>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</si>
  <si>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</si>
  <si>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</si>
  <si>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</si>
  <si>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</si>
  <si>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</si>
  <si>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</si>
  <si>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</si>
  <si>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</si>
  <si>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</si>
  <si>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</si>
  <si>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</si>
  <si>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</si>
  <si>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</si>
  <si>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</si>
  <si>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</si>
  <si>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</si>
  <si>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</si>
  <si>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</si>
  <si>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</si>
  <si>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</si>
  <si>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</si>
  <si>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</si>
  <si>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</si>
  <si>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</si>
  <si>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</si>
  <si>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</si>
  <si>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</si>
  <si>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</si>
  <si>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</si>
  <si>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</si>
  <si>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</si>
  <si>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</si>
  <si>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</si>
  <si>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</si>
  <si>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</si>
  <si>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</si>
  <si>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</si>
  <si>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</si>
  <si>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</si>
  <si>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</si>
  <si>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</si>
  <si>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</si>
  <si>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</si>
  <si>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</si>
  <si>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</si>
  <si>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</si>
  <si>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</si>
  <si>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</si>
  <si>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</si>
  <si>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</si>
  <si>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</si>
  <si>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</si>
  <si>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</si>
  <si>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</si>
  <si>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</si>
  <si>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</si>
  <si>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</si>
  <si>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</si>
  <si>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</si>
  <si>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</si>
  <si>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</si>
  <si>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</si>
  <si>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</si>
  <si>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</si>
  <si>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</si>
  <si>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</si>
  <si>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</si>
  <si>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</si>
  <si>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</si>
  <si>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</si>
  <si>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</si>
  <si>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</si>
  <si>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</si>
  <si>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</si>
  <si>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</si>
  <si>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</si>
  <si>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</si>
  <si>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</si>
  <si>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</si>
  <si>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</si>
  <si>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</si>
  <si>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</si>
  <si>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</si>
  <si>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</si>
  <si>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</si>
  <si>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</si>
  <si>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</si>
  <si>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</si>
  <si>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</si>
  <si>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</si>
  <si>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</si>
  <si>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</si>
  <si>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</si>
  <si>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</si>
  <si>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</si>
  <si>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</si>
  <si>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</si>
  <si>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</si>
  <si>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</si>
  <si>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</si>
  <si>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</si>
  <si>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</si>
  <si>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</si>
  <si>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</si>
  <si>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</si>
  <si>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</si>
  <si>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</si>
  <si>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</si>
  <si>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</si>
  <si>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</si>
  <si>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</si>
  <si>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</si>
  <si>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</si>
  <si>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</si>
  <si>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</si>
  <si>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</si>
  <si>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</si>
  <si>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</si>
  <si>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</si>
  <si>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</si>
  <si>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</si>
  <si>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</si>
  <si>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</si>
  <si>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</si>
  <si>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</si>
  <si>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</si>
  <si>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</si>
  <si>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</si>
  <si>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</si>
  <si>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</si>
  <si>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</si>
  <si>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</si>
  <si>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</si>
  <si>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</si>
  <si>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</si>
  <si>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</si>
  <si>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</si>
  <si>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</si>
  <si>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</si>
  <si>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</si>
  <si>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</si>
  <si>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</si>
  <si>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</si>
  <si>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</si>
  <si>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</si>
  <si>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</si>
  <si>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</si>
  <si>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</si>
  <si>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</si>
  <si>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</si>
  <si>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</si>
  <si>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</si>
  <si>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</si>
  <si>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</si>
  <si>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</si>
  <si>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</si>
  <si>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</si>
  <si>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</si>
  <si>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</si>
  <si>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</si>
  <si>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</si>
  <si>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</si>
  <si>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</si>
  <si>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</si>
  <si>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</si>
  <si>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</si>
  <si>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</si>
  <si>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</si>
  <si>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</si>
  <si>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</si>
  <si>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</si>
  <si>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</si>
  <si>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</si>
  <si>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</si>
  <si>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</si>
  <si>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</si>
  <si>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</si>
  <si>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</si>
  <si>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</si>
  <si>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</si>
  <si>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</si>
  <si>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</si>
  <si>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</si>
  <si>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</si>
  <si>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</si>
  <si>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</si>
  <si>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</si>
  <si>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</si>
  <si>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</si>
  <si>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</si>
  <si>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</si>
  <si>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</si>
  <si>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</si>
  <si>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</si>
  <si>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</si>
  <si>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</si>
  <si>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</si>
  <si>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</si>
  <si>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</si>
  <si>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</si>
  <si>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</si>
  <si>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</si>
  <si>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</si>
  <si>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</si>
  <si>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</si>
  <si>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</si>
  <si>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</si>
  <si>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</si>
  <si>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</si>
  <si>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</si>
  <si>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</si>
  <si>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</si>
  <si>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</si>
  <si>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</si>
  <si>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</si>
  <si>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</si>
  <si>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</si>
  <si>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</si>
  <si>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</si>
  <si>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</si>
  <si>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</si>
  <si>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</si>
  <si>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</si>
  <si>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</si>
  <si>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</si>
  <si>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</si>
  <si>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</si>
  <si>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</si>
  <si>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</si>
  <si>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</si>
  <si>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</si>
  <si>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</si>
  <si>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</si>
  <si>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</si>
  <si>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</si>
  <si>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</si>
  <si>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</si>
  <si>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</si>
  <si>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</si>
  <si>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</si>
  <si>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</si>
  <si>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</si>
  <si>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</si>
  <si>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</si>
  <si>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</si>
  <si>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</si>
  <si>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</si>
  <si>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</si>
  <si>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</si>
  <si>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</si>
  <si>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</si>
  <si>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</si>
  <si>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</si>
  <si>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</si>
  <si>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</si>
  <si>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</si>
  <si>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</si>
  <si>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</si>
  <si>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</si>
  <si>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</si>
  <si>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</si>
  <si>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</si>
  <si>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</si>
  <si>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</si>
  <si>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</si>
  <si>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</si>
  <si>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</si>
  <si>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</si>
  <si>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</si>
  <si>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</si>
  <si>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</si>
  <si>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</si>
  <si>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</si>
  <si>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</si>
  <si>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</si>
  <si>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</si>
  <si>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</si>
  <si>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</si>
  <si>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</si>
  <si>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</si>
  <si>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</si>
  <si>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</si>
  <si>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</si>
  <si>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</si>
  <si>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</si>
  <si>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</si>
  <si>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</si>
  <si>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</si>
  <si>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</si>
  <si>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</si>
  <si>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</si>
  <si>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</si>
  <si>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</si>
  <si>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</si>
  <si>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</si>
  <si>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</si>
  <si>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</si>
  <si>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</si>
  <si>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</si>
  <si>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</si>
  <si>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</si>
  <si>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</si>
  <si>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</si>
  <si>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</si>
  <si>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</si>
  <si>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</si>
  <si>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</si>
  <si>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</si>
  <si>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</si>
  <si>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</si>
  <si>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</si>
  <si>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</si>
  <si>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</si>
  <si>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</si>
  <si>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</si>
  <si>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</si>
  <si>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</si>
  <si>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</si>
  <si>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</si>
  <si>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</si>
  <si>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</si>
  <si>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</si>
  <si>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</si>
  <si>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</si>
  <si>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</si>
  <si>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</si>
  <si>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</si>
  <si>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</si>
  <si>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</si>
  <si>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</si>
  <si>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</si>
  <si>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</si>
  <si>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</si>
  <si>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</si>
  <si>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</si>
  <si>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</si>
  <si>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</si>
  <si>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</si>
  <si>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</si>
  <si>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</si>
  <si>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</si>
  <si>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</si>
  <si>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</si>
  <si>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</si>
  <si>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</si>
  <si>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</si>
  <si>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</si>
  <si>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</si>
  <si>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</si>
  <si>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</si>
  <si>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</si>
  <si>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</si>
  <si>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</si>
  <si>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</si>
  <si>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</si>
  <si>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</si>
  <si>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</si>
  <si>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</si>
  <si>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</si>
  <si>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</si>
  <si>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</si>
  <si>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</si>
  <si>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</si>
  <si>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</si>
  <si>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</si>
  <si>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</si>
  <si>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</si>
  <si>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</si>
  <si>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</si>
  <si>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</si>
  <si>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</si>
  <si>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</si>
  <si>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</si>
  <si>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</si>
  <si>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</si>
  <si>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</si>
  <si>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</si>
  <si>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</si>
  <si>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</si>
  <si>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</si>
  <si>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</si>
  <si>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</si>
  <si>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</si>
  <si>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</si>
  <si>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</si>
  <si>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</si>
  <si>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</si>
  <si>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</si>
  <si>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</si>
  <si>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</si>
  <si>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</si>
  <si>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</si>
  <si>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</si>
  <si>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</si>
  <si>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</si>
  <si>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</si>
  <si>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</si>
  <si>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</si>
  <si>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</si>
  <si>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</si>
  <si>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</si>
  <si>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</si>
  <si>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</si>
  <si>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</si>
  <si>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</si>
  <si>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</si>
  <si>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</si>
  <si>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</si>
  <si>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</si>
  <si>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</si>
  <si>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</si>
  <si>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</si>
  <si>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</si>
  <si>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</si>
  <si>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</si>
  <si>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</si>
  <si>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</si>
  <si>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</si>
  <si>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</si>
  <si>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</si>
  <si>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</si>
  <si>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</si>
  <si>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</si>
  <si>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</si>
  <si>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</si>
  <si>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</si>
  <si>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</si>
  <si>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</si>
  <si>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</si>
  <si>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</si>
  <si>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</si>
  <si>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</si>
  <si>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</si>
  <si>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</si>
  <si>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</si>
  <si>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</si>
  <si>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</si>
  <si>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</si>
  <si>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</si>
  <si>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</si>
  <si>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</si>
  <si>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</si>
  <si>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</si>
  <si>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</si>
  <si>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</si>
  <si>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</si>
  <si>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</si>
  <si>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</si>
  <si>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</si>
  <si>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</si>
  <si>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</si>
  <si>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</si>
  <si>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</si>
  <si>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</si>
  <si>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</si>
  <si>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</si>
  <si>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</si>
  <si>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</si>
  <si>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</si>
  <si>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</si>
  <si>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</si>
  <si>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</si>
  <si>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</si>
  <si>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</si>
  <si>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</si>
  <si>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</si>
  <si>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</si>
  <si>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</si>
  <si>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</si>
  <si>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</si>
  <si>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</si>
  <si>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</si>
  <si>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</si>
  <si>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</si>
  <si>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</si>
  <si>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</si>
  <si>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</si>
  <si>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</si>
  <si>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</si>
  <si>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</si>
  <si>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</si>
  <si>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</si>
  <si>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</si>
  <si>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</si>
  <si>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</si>
  <si>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</si>
  <si>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</si>
  <si>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</si>
  <si>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</si>
  <si>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</si>
  <si>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</si>
  <si>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</si>
  <si>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</si>
  <si>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</si>
  <si>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</si>
  <si>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</si>
  <si>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</si>
  <si>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</si>
  <si>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</si>
  <si>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</si>
  <si>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</si>
  <si>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</si>
  <si>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</si>
  <si>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</si>
  <si>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</si>
  <si>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</si>
  <si>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</si>
  <si>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</si>
  <si>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</si>
  <si>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</si>
  <si>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</si>
  <si>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</si>
  <si>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</si>
  <si>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</si>
  <si>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</si>
  <si>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</si>
  <si>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</si>
  <si>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</si>
  <si>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</si>
  <si>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</si>
  <si>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</si>
  <si>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</si>
  <si>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</si>
  <si>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</si>
  <si>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</si>
  <si>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</si>
  <si>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</si>
  <si>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</si>
  <si>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</si>
  <si>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</si>
  <si>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</si>
  <si>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</si>
  <si>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</si>
  <si>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</si>
  <si>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</si>
  <si>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</si>
  <si>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</si>
  <si>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</si>
  <si>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</si>
  <si>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</si>
  <si>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</si>
  <si>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</si>
  <si>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</si>
  <si>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</si>
  <si>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</si>
  <si>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</si>
  <si>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</si>
  <si>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</si>
  <si>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</si>
  <si>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</si>
  <si>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</si>
  <si>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</si>
  <si>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</si>
  <si>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</si>
  <si>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</si>
  <si>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</si>
  <si>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</si>
  <si>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</si>
  <si>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</si>
  <si>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</si>
  <si>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</si>
  <si>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</si>
  <si>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</si>
  <si>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</si>
  <si>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</si>
  <si>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</si>
  <si>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</si>
  <si>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</si>
  <si>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</si>
  <si>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</si>
  <si>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</si>
  <si>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</si>
  <si>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</si>
  <si>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</si>
  <si>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</si>
  <si>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</si>
  <si>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</si>
  <si>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</si>
  <si>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</si>
  <si>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</si>
  <si>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</si>
  <si>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</si>
  <si>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</si>
  <si>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</si>
  <si>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</si>
  <si>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</si>
  <si>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</si>
  <si>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</si>
  <si>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</si>
  <si>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</si>
  <si>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</si>
  <si>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</si>
  <si>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</si>
  <si>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</si>
  <si>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</si>
  <si>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</si>
  <si>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</si>
  <si>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</si>
  <si>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</si>
  <si>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</si>
  <si>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</si>
  <si>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</si>
  <si>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</si>
  <si>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</si>
  <si>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</si>
  <si>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</si>
  <si>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</si>
  <si>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</si>
  <si>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</si>
  <si>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</si>
  <si>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</si>
  <si>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</si>
  <si>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</si>
  <si>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</si>
  <si>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</si>
  <si>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</si>
  <si>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</si>
  <si>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</si>
  <si>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</si>
  <si>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</si>
  <si>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</si>
  <si>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</si>
  <si>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</si>
  <si>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</si>
  <si>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</si>
  <si>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</si>
  <si>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</si>
  <si>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</si>
  <si>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</si>
  <si>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</si>
  <si>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</si>
  <si>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</si>
  <si>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</si>
  <si>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</si>
  <si>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</si>
  <si>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</si>
  <si>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</si>
  <si>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</si>
  <si>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</si>
  <si>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</si>
  <si>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</si>
  <si>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</si>
  <si>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</si>
  <si>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</si>
  <si>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</si>
  <si>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</si>
  <si>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</si>
  <si>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</si>
  <si>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</si>
  <si>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</si>
  <si>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</si>
  <si>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</si>
  <si>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</si>
  <si>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</si>
  <si>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</si>
  <si>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</si>
  <si>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</si>
  <si>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</si>
  <si>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</si>
  <si>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</si>
  <si>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</si>
  <si>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</si>
  <si>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</si>
  <si>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</si>
  <si>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</si>
  <si>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</si>
  <si>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</si>
  <si>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</si>
  <si>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</si>
  <si>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</si>
  <si>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</si>
  <si>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</si>
  <si>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</si>
  <si>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</si>
  <si>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</si>
  <si>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</si>
  <si>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</si>
  <si>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</si>
  <si>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</si>
  <si>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</si>
  <si>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</si>
  <si>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</si>
  <si>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</si>
  <si>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</si>
  <si>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</si>
  <si>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</si>
  <si>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</si>
  <si>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</si>
  <si>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</si>
  <si>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</si>
  <si>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</si>
  <si>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</si>
  <si>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</si>
  <si>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</si>
  <si>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</si>
  <si>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</si>
  <si>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</si>
  <si>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</si>
  <si>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</si>
  <si>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</si>
  <si>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</si>
  <si>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</si>
  <si>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</si>
  <si>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</si>
  <si>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</si>
  <si>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</si>
  <si>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</si>
  <si>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</si>
  <si>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</si>
  <si>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</si>
  <si>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</si>
  <si>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</si>
  <si>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</si>
  <si>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</si>
  <si>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</si>
  <si>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</si>
  <si>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</si>
  <si>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</si>
  <si>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</si>
  <si>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</si>
  <si>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</si>
  <si>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</si>
  <si>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</si>
  <si>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</si>
  <si>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</si>
  <si>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</si>
  <si>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</si>
  <si>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</si>
  <si>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</si>
  <si>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</si>
  <si>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</si>
  <si>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</si>
  <si>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</si>
  <si>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</si>
  <si>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</si>
  <si>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</si>
  <si>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</si>
  <si>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</si>
  <si>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</si>
  <si>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</si>
  <si>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</si>
  <si>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</si>
  <si>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</si>
  <si>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</si>
  <si>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</si>
  <si>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</si>
  <si>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</si>
  <si>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</si>
  <si>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</si>
  <si>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</si>
  <si>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</si>
  <si>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</si>
  <si>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</si>
  <si>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</si>
  <si>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</si>
  <si>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</si>
  <si>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</si>
  <si>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</si>
  <si>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</si>
  <si>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</si>
  <si>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</si>
  <si>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</si>
  <si>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</si>
  <si>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</si>
  <si>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</si>
  <si>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</si>
  <si>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</si>
  <si>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</si>
  <si>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</si>
  <si>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</si>
  <si>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</si>
  <si>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</si>
  <si>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</si>
  <si>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</si>
  <si>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</si>
  <si>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</si>
  <si>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</si>
  <si>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</si>
  <si>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</si>
  <si>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</si>
  <si>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</si>
  <si>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</si>
  <si>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</si>
  <si>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</si>
  <si>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</si>
  <si>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</si>
  <si>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</si>
  <si>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</si>
  <si>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</si>
  <si>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</si>
  <si>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</si>
  <si>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</si>
  <si>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</si>
  <si>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</si>
  <si>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</si>
  <si>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</si>
  <si>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</si>
  <si>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</si>
  <si>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</si>
  <si>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</si>
  <si>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</si>
  <si>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</si>
  <si>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</si>
  <si>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</si>
  <si>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</si>
  <si>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</si>
  <si>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</si>
  <si>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</si>
  <si>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</si>
  <si>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</si>
  <si>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</si>
  <si>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</si>
  <si>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</si>
  <si>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</si>
  <si>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</si>
  <si>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</si>
  <si>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</si>
  <si>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</si>
  <si>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</si>
  <si>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</si>
  <si>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</si>
  <si>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</si>
  <si>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</si>
  <si>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</si>
  <si>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</si>
  <si>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</si>
  <si>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</si>
  <si>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</si>
  <si>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</si>
  <si>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</si>
  <si>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</si>
  <si>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</si>
  <si>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</si>
  <si>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</si>
  <si>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</si>
  <si>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</si>
  <si>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</si>
  <si>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</si>
  <si>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</si>
  <si>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</si>
  <si>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</si>
  <si>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</si>
  <si>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</si>
  <si>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</si>
  <si>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</si>
  <si>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</si>
  <si>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</si>
  <si>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</si>
  <si>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</si>
  <si>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</si>
  <si>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</si>
  <si>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</si>
  <si>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</si>
  <si>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</si>
  <si>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</si>
  <si>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</si>
  <si>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</si>
  <si>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</si>
  <si>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</si>
  <si>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</si>
  <si>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</si>
  <si>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</si>
  <si>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</si>
  <si>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</si>
  <si>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</si>
  <si>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</si>
  <si>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</si>
  <si>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</si>
  <si>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</si>
  <si>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</si>
  <si>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</si>
  <si>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</si>
  <si>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</si>
  <si>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</si>
  <si>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</si>
  <si>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</si>
  <si>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</si>
  <si>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</si>
  <si>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</si>
  <si>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</si>
  <si>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</si>
  <si>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</si>
  <si>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</si>
  <si>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</si>
  <si>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</si>
  <si>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</si>
  <si>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</si>
  <si>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</si>
  <si>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</si>
  <si>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</si>
  <si>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</si>
  <si>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</si>
  <si>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</si>
  <si>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</si>
  <si>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</si>
  <si>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</si>
  <si>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</si>
  <si>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</si>
  <si>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</si>
  <si>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</si>
  <si>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</si>
  <si>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</si>
  <si>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</si>
  <si>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</si>
  <si>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</si>
  <si>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</si>
  <si>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</si>
  <si>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</si>
  <si>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</si>
  <si>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</si>
  <si>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</si>
  <si>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</si>
  <si>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</si>
  <si>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</si>
  <si>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</si>
  <si>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</si>
  <si>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</si>
  <si>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</si>
  <si>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</si>
  <si>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</si>
  <si>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</si>
  <si>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</si>
  <si>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</si>
  <si>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</si>
  <si>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</si>
  <si>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</si>
  <si>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</si>
  <si>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</si>
  <si>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</si>
  <si>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</si>
  <si>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</si>
  <si>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</si>
  <si>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</si>
  <si>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</si>
  <si>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</si>
  <si>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</si>
  <si>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</si>
  <si>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</si>
  <si>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</si>
  <si>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</si>
  <si>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</si>
  <si>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</si>
  <si>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</si>
  <si>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</si>
  <si>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</si>
  <si>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</si>
  <si>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</si>
  <si>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</si>
  <si>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</si>
  <si>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</si>
  <si>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</si>
  <si>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</si>
  <si>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</si>
  <si>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</si>
  <si>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</si>
  <si>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</si>
  <si>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</si>
  <si>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</si>
  <si>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</si>
  <si>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</si>
  <si>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</si>
  <si>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</si>
  <si>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</si>
  <si>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</si>
  <si>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</si>
  <si>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</si>
  <si>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</si>
  <si>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</si>
  <si>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</si>
  <si>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</si>
  <si>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</si>
  <si>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</si>
  <si>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</si>
  <si>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</si>
  <si>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</si>
  <si>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</si>
  <si>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</si>
  <si>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</si>
  <si>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</si>
  <si>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</si>
  <si>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</si>
  <si>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</si>
  <si>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</si>
  <si>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</si>
  <si>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</si>
  <si>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</si>
  <si>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</si>
  <si>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</si>
  <si>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</si>
  <si>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</si>
  <si>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</si>
  <si>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</si>
  <si>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</si>
  <si>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</si>
  <si>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</si>
  <si>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</si>
  <si>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</si>
  <si>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</si>
  <si>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</si>
  <si>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</si>
  <si>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</si>
  <si>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</si>
  <si>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</si>
  <si>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</si>
  <si>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</si>
  <si>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</si>
  <si>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</si>
  <si>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</si>
  <si>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</si>
  <si>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</si>
  <si>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</si>
  <si>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</si>
  <si>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</si>
  <si>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</si>
  <si>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</si>
  <si>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</si>
  <si>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</si>
  <si>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</si>
  <si>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</si>
  <si>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</si>
  <si>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</si>
  <si>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</si>
  <si>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</si>
  <si>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</si>
  <si>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</si>
  <si>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</si>
  <si>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</si>
  <si>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</si>
  <si>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</si>
  <si>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</si>
  <si>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</si>
  <si>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</si>
  <si>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</si>
  <si>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</si>
  <si>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</si>
  <si>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</si>
  <si>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</si>
  <si>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</si>
  <si>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</si>
  <si>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</si>
  <si>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</si>
  <si>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</si>
  <si>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</si>
  <si>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</si>
  <si>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</si>
  <si>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</si>
  <si>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</si>
  <si>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</si>
  <si>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</si>
  <si>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</si>
  <si>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</si>
  <si>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</si>
  <si>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</si>
  <si>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</si>
  <si>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</si>
  <si>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</si>
  <si>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</si>
  <si>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</si>
  <si>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</si>
  <si>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</si>
  <si>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</si>
  <si>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</si>
  <si>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</si>
  <si>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</si>
  <si>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</si>
  <si>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</si>
  <si>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</si>
  <si>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</si>
  <si>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</si>
  <si>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</si>
  <si>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</si>
  <si>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</si>
  <si>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</si>
  <si>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</si>
  <si>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</si>
  <si>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</si>
  <si>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</si>
  <si>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</si>
  <si>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</si>
  <si>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</si>
  <si>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</si>
  <si>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</si>
  <si>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</si>
  <si>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</si>
  <si>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</si>
  <si>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</si>
  <si>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</si>
  <si>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</si>
  <si>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</si>
  <si>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</si>
  <si>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</si>
  <si>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</si>
  <si>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</si>
  <si>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</si>
  <si>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</si>
  <si>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</si>
  <si>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</si>
  <si>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</si>
  <si>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</si>
  <si>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</si>
  <si>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</si>
  <si>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</si>
  <si>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</si>
  <si>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</si>
  <si>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</si>
  <si>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</si>
  <si>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</si>
  <si>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</si>
  <si>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</si>
  <si>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</si>
  <si>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</si>
  <si>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</si>
  <si>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</si>
  <si>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</si>
  <si>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</si>
  <si>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</si>
  <si>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</si>
  <si>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</si>
  <si>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</si>
  <si>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</si>
  <si>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</si>
  <si>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</si>
  <si>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</si>
  <si>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</si>
  <si>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</si>
  <si>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</si>
  <si>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</si>
  <si>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</si>
  <si>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</si>
  <si>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</si>
  <si>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</si>
  <si>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</si>
  <si>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</si>
  <si>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</si>
  <si>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</si>
  <si>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</si>
  <si>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</si>
  <si>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</si>
  <si>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</si>
  <si>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</si>
  <si>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</si>
  <si>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</si>
  <si>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</si>
  <si>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</si>
  <si>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</si>
  <si>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</si>
  <si>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</si>
  <si>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</si>
  <si>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</si>
  <si>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</si>
  <si>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</si>
  <si>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</si>
  <si>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</si>
  <si>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</si>
  <si>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</si>
  <si>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</si>
  <si>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</si>
  <si>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</si>
  <si>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</si>
  <si>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</si>
  <si>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</si>
  <si>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</si>
  <si>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</si>
  <si>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</si>
  <si>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</si>
  <si>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</si>
  <si>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</si>
  <si>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</si>
  <si>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</si>
  <si>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</si>
  <si>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</si>
  <si>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</si>
  <si>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</si>
  <si>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</si>
  <si>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</si>
  <si>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</si>
  <si>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</si>
  <si>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</si>
  <si>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</si>
  <si>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</si>
  <si>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</si>
  <si>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</si>
  <si>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</si>
  <si>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</si>
  <si>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</si>
  <si>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</si>
  <si>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</si>
  <si>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</si>
  <si>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</si>
  <si>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</si>
  <si>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</si>
  <si>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</si>
  <si>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</si>
  <si>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</si>
  <si>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</si>
  <si>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</si>
  <si>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</si>
  <si>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</si>
  <si>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</si>
  <si>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</si>
  <si>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</si>
  <si>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</si>
  <si>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</si>
  <si>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</si>
  <si>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</si>
  <si>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</si>
  <si>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</si>
  <si>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</si>
  <si>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</si>
  <si>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</si>
  <si>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</si>
  <si>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</si>
  <si>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</si>
  <si>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</si>
  <si>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</si>
  <si>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</si>
  <si>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</si>
  <si>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</si>
  <si>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</si>
  <si>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</si>
  <si>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</si>
  <si>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</si>
  <si>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</si>
  <si>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</si>
  <si>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</si>
  <si>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</si>
  <si>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</si>
  <si>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</si>
  <si>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</si>
  <si>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</si>
  <si>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</si>
  <si>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</si>
  <si>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</si>
  <si>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</si>
  <si>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</si>
  <si>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</si>
  <si>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</si>
  <si>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</si>
  <si>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</si>
  <si>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</si>
  <si>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</si>
  <si>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</si>
  <si>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</si>
  <si>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</si>
  <si>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</si>
  <si>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</si>
  <si>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</si>
  <si>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</si>
  <si>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</si>
  <si>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</si>
  <si>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</si>
  <si>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</si>
  <si>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</si>
  <si>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</si>
  <si>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</si>
  <si>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</si>
  <si>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</si>
  <si>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</si>
  <si>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</si>
  <si>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</si>
  <si>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</si>
  <si>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</si>
  <si>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</si>
  <si>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</si>
  <si>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</si>
  <si>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</si>
  <si>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</si>
  <si>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</si>
  <si>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</si>
  <si>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</si>
  <si>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</si>
  <si>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</si>
  <si>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</si>
  <si>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</si>
  <si>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</si>
  <si>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</si>
  <si>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</si>
  <si>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</si>
  <si>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</si>
  <si>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</si>
  <si>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</si>
  <si>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</si>
  <si>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</si>
  <si>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</si>
  <si>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</si>
  <si>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</si>
  <si>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</si>
  <si>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</si>
  <si>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</si>
  <si>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</si>
  <si>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</si>
  <si>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</si>
  <si>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</si>
  <si>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</si>
  <si>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</si>
  <si>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</si>
  <si>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</si>
  <si>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</si>
  <si>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</si>
  <si>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</si>
  <si>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</si>
  <si>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</si>
  <si>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</si>
  <si>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</si>
  <si>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</si>
  <si>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</si>
  <si>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</si>
  <si>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</si>
  <si>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</si>
  <si>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</si>
  <si>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</si>
  <si>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</si>
  <si>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</si>
  <si>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</si>
  <si>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</si>
  <si>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</si>
  <si>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</si>
  <si>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</si>
  <si>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</si>
  <si>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</si>
  <si>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</si>
  <si>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</si>
  <si>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</si>
  <si>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</si>
  <si>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</si>
  <si>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</si>
  <si>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</si>
  <si>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</si>
  <si>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</si>
  <si>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</si>
  <si>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</si>
  <si>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</si>
  <si>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</si>
  <si>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</si>
  <si>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</si>
  <si>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</si>
  <si>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</si>
  <si>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</si>
  <si>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</si>
  <si>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</si>
  <si>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</si>
  <si>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</si>
  <si>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</si>
  <si>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</si>
  <si>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</si>
  <si>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</si>
  <si>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</si>
  <si>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</si>
  <si>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</si>
  <si>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</si>
  <si>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</si>
  <si>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</si>
  <si>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</si>
  <si>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</si>
  <si>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</si>
  <si>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</si>
  <si>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</si>
  <si>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</si>
  <si>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</si>
  <si>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</si>
  <si>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</si>
  <si>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</si>
  <si>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</si>
  <si>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</si>
  <si>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</si>
  <si>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</si>
  <si>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</si>
  <si>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</si>
  <si>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</si>
  <si>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</si>
  <si>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</si>
  <si>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</si>
  <si>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</si>
  <si>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</si>
  <si>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</si>
  <si>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</si>
  <si>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</si>
  <si>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</si>
  <si>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</si>
  <si>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</si>
  <si>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</si>
  <si>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</si>
  <si>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</si>
  <si>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</si>
  <si>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</si>
  <si>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</si>
  <si>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</si>
  <si>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</si>
  <si>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</si>
  <si>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</si>
  <si>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</si>
  <si>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</si>
  <si>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</si>
  <si>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</si>
  <si>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</si>
  <si>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</si>
  <si>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</si>
  <si>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</si>
  <si>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</si>
  <si>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</si>
  <si>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</si>
  <si>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</si>
  <si>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</si>
  <si>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</si>
  <si>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</si>
  <si>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</si>
  <si>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</si>
  <si>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</si>
  <si>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</si>
  <si>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</si>
  <si>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</si>
  <si>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</si>
  <si>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</si>
  <si>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</si>
  <si>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</si>
  <si>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</si>
  <si>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</si>
  <si>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</si>
  <si>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</si>
  <si>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</si>
  <si>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</si>
  <si>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</si>
  <si>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</si>
  <si>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</si>
  <si>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</si>
  <si>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</si>
  <si>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</si>
  <si>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</si>
  <si>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</si>
  <si>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</si>
  <si>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</si>
  <si>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</si>
  <si>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</si>
  <si>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</si>
  <si>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</si>
  <si>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</si>
  <si>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</si>
  <si>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</si>
  <si>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</si>
  <si>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</si>
  <si>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</si>
  <si>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</si>
  <si>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</si>
  <si>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</si>
  <si>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</si>
  <si>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</si>
  <si>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</si>
  <si>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</si>
  <si>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</si>
  <si>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</si>
  <si>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</si>
  <si>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</si>
  <si>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</si>
  <si>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</si>
  <si>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</si>
  <si>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</si>
  <si>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</si>
  <si>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</si>
  <si>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</si>
  <si>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</si>
  <si>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</si>
  <si>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</si>
  <si>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</si>
  <si>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</si>
  <si>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</si>
  <si>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</si>
  <si>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</si>
  <si>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</si>
  <si>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</si>
  <si>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</si>
  <si>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</si>
  <si>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</si>
  <si>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</si>
  <si>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</si>
  <si>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</si>
  <si>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</si>
  <si>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</si>
  <si>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</si>
  <si>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</si>
  <si>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</si>
  <si>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</si>
  <si>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</si>
  <si>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</si>
  <si>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</si>
  <si>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</si>
  <si>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</si>
  <si>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</si>
  <si>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</si>
  <si>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</si>
  <si>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</si>
  <si>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</si>
  <si>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</si>
  <si>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</si>
  <si>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</si>
  <si>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</si>
  <si>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</si>
  <si>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</si>
  <si>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</si>
  <si>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</si>
  <si>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</si>
  <si>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</si>
  <si>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</si>
  <si>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</si>
  <si>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</si>
  <si>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</si>
  <si>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</si>
  <si>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</si>
  <si>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</si>
  <si>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</si>
  <si>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</si>
  <si>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</si>
  <si>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</si>
  <si>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</si>
  <si>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</si>
  <si>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</si>
  <si>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</si>
  <si>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</si>
  <si>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</si>
  <si>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</si>
  <si>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</si>
  <si>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</si>
  <si>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</si>
  <si>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</si>
  <si>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</si>
  <si>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</si>
  <si>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</si>
  <si>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</si>
  <si>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</si>
  <si>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</si>
  <si>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</si>
  <si>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</si>
  <si>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</si>
  <si>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</si>
  <si>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</si>
  <si>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</si>
  <si>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</si>
  <si>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</si>
  <si>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</si>
  <si>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</si>
  <si>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</si>
  <si>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</si>
  <si>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</si>
  <si>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</si>
  <si>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</si>
  <si>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</si>
  <si>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</si>
  <si>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</si>
  <si>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</si>
  <si>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</si>
  <si>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</si>
  <si>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</si>
  <si>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</si>
  <si>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</si>
  <si>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</si>
  <si>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</si>
  <si>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</si>
  <si>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</si>
  <si>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</si>
  <si>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</si>
  <si>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</si>
  <si>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</si>
  <si>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</si>
  <si>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</si>
  <si>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</si>
  <si>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</si>
  <si>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</si>
  <si>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</si>
  <si>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</si>
  <si>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</si>
  <si>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</si>
  <si>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</si>
  <si>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</si>
  <si>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</si>
  <si>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</si>
  <si>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</si>
  <si>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</si>
  <si>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</si>
  <si>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</si>
  <si>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</si>
  <si>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</si>
  <si>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</si>
  <si>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</si>
  <si>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</si>
  <si>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</si>
  <si>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</si>
  <si>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</si>
  <si>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</si>
  <si>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</si>
  <si>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</si>
  <si>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</si>
  <si>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</si>
  <si>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</si>
  <si>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</si>
  <si>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</si>
  <si>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</si>
  <si>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</si>
  <si>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</si>
  <si>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</si>
  <si>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</si>
  <si>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</si>
  <si>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</si>
  <si>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</si>
  <si>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</si>
  <si>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</si>
  <si>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</si>
  <si>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</si>
  <si>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</si>
  <si>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</si>
  <si>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</si>
  <si>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</si>
  <si>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</si>
  <si>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</si>
  <si>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</si>
  <si>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</si>
  <si>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</si>
  <si>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</si>
  <si>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</si>
  <si>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</si>
  <si>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</si>
  <si>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</si>
  <si>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</si>
  <si>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</si>
  <si>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</si>
  <si>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</si>
  <si>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</si>
  <si>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</si>
  <si>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</si>
  <si>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</si>
  <si>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</si>
  <si>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</si>
  <si>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</si>
  <si>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</si>
  <si>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</si>
  <si>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</si>
  <si>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</si>
  <si>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</si>
  <si>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</si>
  <si>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</si>
  <si>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</si>
  <si>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</si>
  <si>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</si>
  <si>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</si>
  <si>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</si>
  <si>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</si>
  <si>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</si>
  <si>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</si>
  <si>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</si>
  <si>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</si>
  <si>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</si>
  <si>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</si>
  <si>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</si>
  <si>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</si>
  <si>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</si>
  <si>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</si>
  <si>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</si>
  <si>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</si>
  <si>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</si>
  <si>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</si>
  <si>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</si>
  <si>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</si>
  <si>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</si>
  <si>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</si>
  <si>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</si>
  <si>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</si>
  <si>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</si>
  <si>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</si>
  <si>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</si>
  <si>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</si>
  <si>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</si>
  <si>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</si>
  <si>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</si>
  <si>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</si>
  <si>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</si>
  <si>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</si>
  <si>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</si>
  <si>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</si>
  <si>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</si>
  <si>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</si>
  <si>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</si>
  <si>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</si>
  <si>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</si>
  <si>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</si>
  <si>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</si>
  <si>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</si>
  <si>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</si>
  <si>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</si>
  <si>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</si>
  <si>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</si>
  <si>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</si>
  <si>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</si>
  <si>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</si>
  <si>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</si>
  <si>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</si>
  <si>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</si>
  <si>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</si>
  <si>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</si>
  <si>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</si>
  <si>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</si>
  <si>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</si>
  <si>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</si>
  <si>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</si>
  <si>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</si>
  <si>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</si>
  <si>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</si>
  <si>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</si>
  <si>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</si>
  <si>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</si>
  <si>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</si>
  <si>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</si>
  <si>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</si>
  <si>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</si>
  <si>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</si>
  <si>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</si>
  <si>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</si>
  <si>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</si>
  <si>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</si>
  <si>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</si>
  <si>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</si>
  <si>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</si>
  <si>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</si>
  <si>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</si>
  <si>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</si>
  <si>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</si>
  <si>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</si>
  <si>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</si>
  <si>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</si>
  <si>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</si>
  <si>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</si>
  <si>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</si>
  <si>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</si>
  <si>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</si>
  <si>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</si>
  <si>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</si>
  <si>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</si>
  <si>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</si>
  <si>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</si>
  <si>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</si>
  <si>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</si>
  <si>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</si>
  <si>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</si>
  <si>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</si>
  <si>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</si>
  <si>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</si>
  <si>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</si>
  <si>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</si>
  <si>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</si>
  <si>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</si>
  <si>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</si>
  <si>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</si>
  <si>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</si>
  <si>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</si>
  <si>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</si>
  <si>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</si>
  <si>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</si>
  <si>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</si>
  <si>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</si>
  <si>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</si>
  <si>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</si>
  <si>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</si>
  <si>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</si>
  <si>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</si>
  <si>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</si>
  <si>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</si>
  <si>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</si>
  <si>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</si>
  <si>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</si>
  <si>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</si>
  <si>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</si>
  <si>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</si>
  <si>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</si>
  <si>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</si>
  <si>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</si>
  <si>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</si>
  <si>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</si>
  <si>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</si>
  <si>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</si>
  <si>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</si>
  <si>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</si>
  <si>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</si>
  <si>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</si>
  <si>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</si>
  <si>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</si>
  <si>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</si>
  <si>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</si>
  <si>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</si>
  <si>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</si>
  <si>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</si>
  <si>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</si>
  <si>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</si>
  <si>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</si>
  <si>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</si>
  <si>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</si>
  <si>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</si>
  <si>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</si>
  <si>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</si>
  <si>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</si>
  <si>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</si>
  <si>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</si>
  <si>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</si>
  <si>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</si>
  <si>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</si>
  <si>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</si>
  <si>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</si>
  <si>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</si>
  <si>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</si>
  <si>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</si>
  <si>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</si>
  <si>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</si>
  <si>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</si>
  <si>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</si>
  <si>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</si>
  <si>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</si>
  <si>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</si>
  <si>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</si>
  <si>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</si>
  <si>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</si>
  <si>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</si>
  <si>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</si>
  <si>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</si>
  <si>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</si>
  <si>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</si>
  <si>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</si>
  <si>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</si>
  <si>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</si>
  <si>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</si>
  <si>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</si>
  <si>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</si>
  <si>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</si>
  <si>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</si>
  <si>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</si>
  <si>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</si>
  <si>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</si>
  <si>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</si>
  <si>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</si>
  <si>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</si>
  <si>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</si>
  <si>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</si>
  <si>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</si>
  <si>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</si>
  <si>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</si>
  <si>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</si>
  <si>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</si>
  <si>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</si>
  <si>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</si>
  <si>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</si>
  <si>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</si>
  <si>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</si>
  <si>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</si>
  <si>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</si>
  <si>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</si>
  <si>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</si>
  <si>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</si>
  <si>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</si>
  <si>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</si>
  <si>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</si>
  <si>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</si>
  <si>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</si>
  <si>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</si>
  <si>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</si>
  <si>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</si>
  <si>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</si>
  <si>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</si>
  <si>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</si>
  <si>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</si>
  <si>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</si>
  <si>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</si>
  <si>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</si>
  <si>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</si>
  <si>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</si>
  <si>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</si>
  <si>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</si>
  <si>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</si>
  <si>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</si>
  <si>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</si>
  <si>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</si>
  <si>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</si>
  <si>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</si>
  <si>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</si>
  <si>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</si>
  <si>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</si>
  <si>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</si>
  <si>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</si>
  <si>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</si>
  <si>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</si>
  <si>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</si>
  <si>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</si>
  <si>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</si>
  <si>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</si>
  <si>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</si>
  <si>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</si>
  <si>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</si>
  <si>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</si>
  <si>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</si>
  <si>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</si>
  <si>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</si>
  <si>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</si>
  <si>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</si>
  <si>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</si>
  <si>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</si>
  <si>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</si>
  <si>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</si>
  <si>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</si>
  <si>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</si>
  <si>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</si>
  <si>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</si>
  <si>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</si>
  <si>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</si>
  <si>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</si>
  <si>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</si>
  <si>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</si>
  <si>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</si>
  <si>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</si>
  <si>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</si>
  <si>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</si>
  <si>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</si>
  <si>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</si>
  <si>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</si>
  <si>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</si>
  <si>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</si>
  <si>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</si>
  <si>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</si>
  <si>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</si>
  <si>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</si>
  <si>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</si>
  <si>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</si>
  <si>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</si>
  <si>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</si>
  <si>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</si>
  <si>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</si>
  <si>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</si>
  <si>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</si>
  <si>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</si>
  <si>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</si>
  <si>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</si>
  <si>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</si>
  <si>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</si>
  <si>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</si>
  <si>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</si>
  <si>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</si>
  <si>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</si>
  <si>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</si>
  <si>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</si>
  <si>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</si>
  <si>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</si>
  <si>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</si>
  <si>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</si>
  <si>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</si>
  <si>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</si>
  <si>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</si>
  <si>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</si>
  <si>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</si>
  <si>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</si>
  <si>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</si>
  <si>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</si>
  <si>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</si>
  <si>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</si>
  <si>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</si>
  <si>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</si>
  <si>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</si>
  <si>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</si>
  <si>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</si>
  <si>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</si>
  <si>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</si>
  <si>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</si>
  <si>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</si>
  <si>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</si>
  <si>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</si>
  <si>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</si>
  <si>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</si>
  <si>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</si>
  <si>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</si>
  <si>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</si>
  <si>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</si>
  <si>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</si>
  <si>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</si>
  <si>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</si>
  <si>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</si>
  <si>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</si>
  <si>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</si>
  <si>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</si>
  <si>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</si>
  <si>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</si>
  <si>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</si>
  <si>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</si>
  <si>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</si>
  <si>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</si>
  <si>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</si>
  <si>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</si>
  <si>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</si>
  <si>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</si>
  <si>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</si>
  <si>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</si>
  <si>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</si>
  <si>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</si>
  <si>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</si>
  <si>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</si>
  <si>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</si>
  <si>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</si>
  <si>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</si>
  <si>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</si>
  <si>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</si>
  <si>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</si>
  <si>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</si>
  <si>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</si>
  <si>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</si>
  <si>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</si>
  <si>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</si>
  <si>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</si>
  <si>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</si>
  <si>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</si>
  <si>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</si>
  <si>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</si>
  <si>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</si>
  <si>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</si>
  <si>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</si>
  <si>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</si>
  <si>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</si>
  <si>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</si>
  <si>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</si>
  <si>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</si>
  <si>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</si>
  <si>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</si>
  <si>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</si>
  <si>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</si>
  <si>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</si>
  <si>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</si>
  <si>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</si>
  <si>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</si>
  <si>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</si>
  <si>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</si>
  <si>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</si>
  <si>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</si>
  <si>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</si>
  <si>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</si>
  <si>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</si>
  <si>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</si>
  <si>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</si>
  <si>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</si>
  <si>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</si>
  <si>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</si>
  <si>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</si>
  <si>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</si>
  <si>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</si>
  <si>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</si>
  <si>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</si>
  <si>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</si>
  <si>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</si>
  <si>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</si>
  <si>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</si>
  <si>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</si>
  <si>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</si>
  <si>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</si>
  <si>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</si>
  <si>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</si>
  <si>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</si>
  <si>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</si>
  <si>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</si>
  <si>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</si>
  <si>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</si>
  <si>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</si>
  <si>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</si>
  <si>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</si>
  <si>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</si>
  <si>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</si>
  <si>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</si>
  <si>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</si>
  <si>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</si>
  <si>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</si>
  <si>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</si>
  <si>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</si>
  <si>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</si>
  <si>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</si>
  <si>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</si>
  <si>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</si>
  <si>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</si>
  <si>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</si>
  <si>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</si>
  <si>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</si>
  <si>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</si>
  <si>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</si>
  <si>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</si>
  <si>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</si>
  <si>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</si>
  <si>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</si>
  <si>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</si>
  <si>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</si>
  <si>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</si>
  <si>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</si>
  <si>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</si>
  <si>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</si>
  <si>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</si>
  <si>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</si>
  <si>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</si>
  <si>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</si>
  <si>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</si>
  <si>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</si>
  <si>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</si>
  <si>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</si>
  <si>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</si>
  <si>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</si>
  <si>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</si>
  <si>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</si>
  <si>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</si>
  <si>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</si>
  <si>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</si>
  <si>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</si>
  <si>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</si>
  <si>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</si>
  <si>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</si>
  <si>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</si>
  <si>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</si>
  <si>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</si>
  <si>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</si>
  <si>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</si>
  <si>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</si>
  <si>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</si>
  <si>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</si>
  <si>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</si>
  <si>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</si>
  <si>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</si>
  <si>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</si>
  <si>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</si>
  <si>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</si>
  <si>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</si>
  <si>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</si>
  <si>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</si>
  <si>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</si>
  <si>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</si>
  <si>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</si>
  <si>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</si>
  <si>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</si>
  <si>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</si>
  <si>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</si>
  <si>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</si>
  <si>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</si>
  <si>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</si>
  <si>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</si>
  <si>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</si>
  <si>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</si>
  <si>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</si>
  <si>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</si>
  <si>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</si>
  <si>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</si>
  <si>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</si>
  <si>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</si>
  <si>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</si>
  <si>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</si>
  <si>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</si>
  <si>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</si>
  <si>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</si>
  <si>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</si>
  <si>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</si>
  <si>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</si>
  <si>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</si>
  <si>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</si>
  <si>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</si>
  <si>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</si>
  <si>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</si>
  <si>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</si>
  <si>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</si>
  <si>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</si>
  <si>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</si>
  <si>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</si>
  <si>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</si>
  <si>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</si>
  <si>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</si>
  <si>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</si>
  <si>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</si>
  <si>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</si>
  <si>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</si>
  <si>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</si>
  <si>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</si>
  <si>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</si>
  <si>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</si>
  <si>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</si>
  <si>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</si>
  <si>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</si>
  <si>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</si>
  <si>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</si>
  <si>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</si>
  <si>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</si>
  <si>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</si>
  <si>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</si>
  <si>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</si>
  <si>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</si>
  <si>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</si>
  <si>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</si>
  <si>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</si>
  <si>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</si>
  <si>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</si>
  <si>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</si>
  <si>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</si>
  <si>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</si>
  <si>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</si>
  <si>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</si>
  <si>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</si>
  <si>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</si>
  <si>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</si>
  <si>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</si>
  <si>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</si>
  <si>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</si>
  <si>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</si>
  <si>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</si>
  <si>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</si>
  <si>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</si>
  <si>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</si>
  <si>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</si>
  <si>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</si>
  <si>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</si>
  <si>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</si>
  <si>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</si>
  <si>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</si>
  <si>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</si>
  <si>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</si>
  <si>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</si>
  <si>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</si>
  <si>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</si>
  <si>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</si>
  <si>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</si>
  <si>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</si>
  <si>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</si>
  <si>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</si>
  <si>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</si>
  <si>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</si>
  <si>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</si>
  <si>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</si>
  <si>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</si>
  <si>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</si>
  <si>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</si>
  <si>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</si>
  <si>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</si>
  <si>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</si>
  <si>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</si>
  <si>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</si>
  <si>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</si>
  <si>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</si>
  <si>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</si>
  <si>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</si>
  <si>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</si>
  <si>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</si>
  <si>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</si>
  <si>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</si>
  <si>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</si>
  <si>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</si>
  <si>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</si>
  <si>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</si>
  <si>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</si>
  <si>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</si>
  <si>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</si>
  <si>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</si>
  <si>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</si>
  <si>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</si>
  <si>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</si>
  <si>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</si>
  <si>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</si>
  <si>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</si>
  <si>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</si>
  <si>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</si>
  <si>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</si>
  <si>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</si>
  <si>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</si>
  <si>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</si>
  <si>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</si>
  <si>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</si>
  <si>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</si>
  <si>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</si>
  <si>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</si>
  <si>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</si>
  <si>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</si>
  <si>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</si>
  <si>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</si>
  <si>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</si>
  <si>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</si>
  <si>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</si>
  <si>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</si>
  <si>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</si>
  <si>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</si>
  <si>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</si>
  <si>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</si>
  <si>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</si>
  <si>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</si>
  <si>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</si>
  <si>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</si>
  <si>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</si>
  <si>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</si>
  <si>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</si>
  <si>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</si>
  <si>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</si>
  <si>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</si>
  <si>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</si>
  <si>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</si>
  <si>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</si>
  <si>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</si>
  <si>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</si>
  <si>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</si>
  <si>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</si>
  <si>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</si>
  <si>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</si>
  <si>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</si>
  <si>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</si>
  <si>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</si>
  <si>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</si>
  <si>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</si>
  <si>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</si>
  <si>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</si>
  <si>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</si>
  <si>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</si>
  <si>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</si>
  <si>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</si>
  <si>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</si>
  <si>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</si>
  <si>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</si>
  <si>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</si>
  <si>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</si>
  <si>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</si>
  <si>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</si>
  <si>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</si>
  <si>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</si>
  <si>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</si>
  <si>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</si>
  <si>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</si>
  <si>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</si>
  <si>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</si>
  <si>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</si>
  <si>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</si>
  <si>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</si>
  <si>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</si>
  <si>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</si>
  <si>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</si>
  <si>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</si>
  <si>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</si>
  <si>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</si>
  <si>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</si>
  <si>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</si>
  <si>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</si>
  <si>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</si>
  <si>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</si>
  <si>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</si>
  <si>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</si>
  <si>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</si>
  <si>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</si>
  <si>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</si>
  <si>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</si>
  <si>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</si>
  <si>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</si>
  <si>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</si>
  <si>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</si>
  <si>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</si>
  <si>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</si>
  <si>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</si>
  <si>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</si>
  <si>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</si>
  <si>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</si>
  <si>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</si>
  <si>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</si>
  <si>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</si>
  <si>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</si>
  <si>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</si>
  <si>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</si>
  <si>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</si>
  <si>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</si>
  <si>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</si>
  <si>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</si>
  <si>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</si>
  <si>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</si>
  <si>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</si>
  <si>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</si>
  <si>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</si>
  <si>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</si>
  <si>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</si>
  <si>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</si>
  <si>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</si>
  <si>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</si>
  <si>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</si>
  <si>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</si>
  <si>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</si>
  <si>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</si>
  <si>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</si>
  <si>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</si>
  <si>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</si>
  <si>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</si>
  <si>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</si>
  <si>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</si>
  <si>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</si>
  <si>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</si>
  <si>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</si>
  <si>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</si>
  <si>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</si>
  <si>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</si>
  <si>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</si>
  <si>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</si>
  <si>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</si>
  <si>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</si>
  <si>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</si>
  <si>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</si>
  <si>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</si>
  <si>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</si>
  <si>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</si>
  <si>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</si>
  <si>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</si>
  <si>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</si>
  <si>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</si>
  <si>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</si>
  <si>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</si>
  <si>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</si>
  <si>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</si>
  <si>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</si>
  <si>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</si>
  <si>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</si>
  <si>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</si>
  <si>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</si>
  <si>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</si>
  <si>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</si>
  <si>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</si>
  <si>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</si>
  <si>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</si>
  <si>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</si>
  <si>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</si>
  <si>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</si>
  <si>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</si>
  <si>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</si>
  <si>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</si>
  <si>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</si>
  <si>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</si>
  <si>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</si>
  <si>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</si>
  <si>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</si>
  <si>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</si>
  <si>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</si>
  <si>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</si>
  <si>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</si>
  <si>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</si>
  <si>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</si>
  <si>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</si>
  <si>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</si>
  <si>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</si>
  <si>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</si>
  <si>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</si>
  <si>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</si>
  <si>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</si>
  <si>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</si>
  <si>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</si>
  <si>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</si>
  <si>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</si>
  <si>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</si>
  <si>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</si>
  <si>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</si>
  <si>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</si>
  <si>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</si>
  <si>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</si>
  <si>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</si>
  <si>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</si>
  <si>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</si>
  <si>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</si>
  <si>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</si>
  <si>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</si>
  <si>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</si>
  <si>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</si>
  <si>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</si>
  <si>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</si>
  <si>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</si>
  <si>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</si>
  <si>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</si>
  <si>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</si>
  <si>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</si>
  <si>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</si>
  <si>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</si>
  <si>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</si>
  <si>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</si>
  <si>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</si>
  <si>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</si>
  <si>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</si>
  <si>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</si>
  <si>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</si>
  <si>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</si>
  <si>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</si>
  <si>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</si>
  <si>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</si>
  <si>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</si>
  <si>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</si>
  <si>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</si>
  <si>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</si>
  <si>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</si>
  <si>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</si>
  <si>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</si>
  <si>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</si>
  <si>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</si>
  <si>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</si>
  <si>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</si>
  <si>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</si>
  <si>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</si>
  <si>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</si>
  <si>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</si>
  <si>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</si>
  <si>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</si>
  <si>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</si>
  <si>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</si>
  <si>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</si>
  <si>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</si>
  <si>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</si>
  <si>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</si>
  <si>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</si>
  <si>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</si>
  <si>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</si>
  <si>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</si>
  <si>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</si>
  <si>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</si>
  <si>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</si>
  <si>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</si>
  <si>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</si>
  <si>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</si>
  <si>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</si>
  <si>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</si>
  <si>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</si>
  <si>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</si>
  <si>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</si>
  <si>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</si>
  <si>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</si>
  <si>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</si>
  <si>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</si>
  <si>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</si>
  <si>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</si>
  <si>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</si>
  <si>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</si>
  <si>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</si>
  <si>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</si>
  <si>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</si>
  <si>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</si>
  <si>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</si>
  <si>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</si>
  <si>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</si>
  <si>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</si>
  <si>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</si>
  <si>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</si>
  <si>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</si>
  <si>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</si>
  <si>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</si>
  <si>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</si>
  <si>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</si>
  <si>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</si>
  <si>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</si>
  <si>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</si>
  <si>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</si>
  <si>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</si>
  <si>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</si>
  <si>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</si>
  <si>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</si>
  <si>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</si>
  <si>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</si>
  <si>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</si>
  <si>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</si>
  <si>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</si>
  <si>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</si>
  <si>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</si>
  <si>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</si>
  <si>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</si>
  <si>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</si>
  <si>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</si>
  <si>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</si>
  <si>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</si>
  <si>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</si>
  <si>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</si>
  <si>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</si>
  <si>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</si>
  <si>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</si>
  <si>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</si>
  <si>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</si>
  <si>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</si>
  <si>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</si>
  <si>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</si>
  <si>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</si>
  <si>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</si>
  <si>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</si>
  <si>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</si>
  <si>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</si>
  <si>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</si>
  <si>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</si>
  <si>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</si>
  <si>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</si>
  <si>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</si>
  <si>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</si>
  <si>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</si>
  <si>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</si>
  <si>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</si>
  <si>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</si>
  <si>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</si>
  <si>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</si>
  <si>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</si>
  <si>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</si>
  <si>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</si>
  <si>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</si>
  <si>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</si>
  <si>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</si>
  <si>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</si>
  <si>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</si>
  <si>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</si>
  <si>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</si>
  <si>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</si>
  <si>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</si>
  <si>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</si>
  <si>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</si>
  <si>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</si>
  <si>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</si>
  <si>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</si>
  <si>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</si>
  <si>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</si>
  <si>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</si>
  <si>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</si>
  <si>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</si>
  <si>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</si>
  <si>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</si>
  <si>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</si>
  <si>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</si>
  <si>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</si>
  <si>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</si>
  <si>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</si>
  <si>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</si>
  <si>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</si>
  <si>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</si>
  <si>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</si>
  <si>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</si>
  <si>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</si>
  <si>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</si>
  <si>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</si>
  <si>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</si>
  <si>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</si>
  <si>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</si>
  <si>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</si>
  <si>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</si>
  <si>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</si>
  <si>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</si>
  <si>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</si>
  <si>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</si>
  <si>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</si>
  <si>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</si>
  <si>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</si>
  <si>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</si>
  <si>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</si>
  <si>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</si>
  <si>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</si>
  <si>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</si>
  <si>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</si>
  <si>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</si>
  <si>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</si>
  <si>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</si>
  <si>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</si>
  <si>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</si>
  <si>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</si>
  <si>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</si>
  <si>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</si>
  <si>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</si>
  <si>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</si>
  <si>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</si>
  <si>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</si>
  <si>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</si>
  <si>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</si>
  <si>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</si>
  <si>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</si>
  <si>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</si>
  <si>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</si>
  <si>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</si>
  <si>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</si>
  <si>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</si>
  <si>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</si>
  <si>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</si>
  <si>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</si>
  <si>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</si>
  <si>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</si>
  <si>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</si>
  <si>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</si>
  <si>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</si>
  <si>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</si>
  <si>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</si>
  <si>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</si>
  <si>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</si>
  <si>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</si>
  <si>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</si>
  <si>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</si>
  <si>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</si>
  <si>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</si>
  <si>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</si>
  <si>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</si>
  <si>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</si>
  <si>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</si>
  <si>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</si>
  <si>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</si>
  <si>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</si>
  <si>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</si>
  <si>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</si>
  <si>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</si>
  <si>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</si>
  <si>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</si>
  <si>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</si>
  <si>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</si>
  <si>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</si>
  <si>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</si>
  <si>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</si>
  <si>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</si>
  <si>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</si>
  <si>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</si>
  <si>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</si>
  <si>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</si>
  <si>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</si>
  <si>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</si>
  <si>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</si>
  <si>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</si>
  <si>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</si>
  <si>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</si>
  <si>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</si>
  <si>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</si>
  <si>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</si>
  <si>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</si>
  <si>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</si>
  <si>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</si>
  <si>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</si>
  <si>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</si>
  <si>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</si>
  <si>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</si>
  <si>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</si>
  <si>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</si>
  <si>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</si>
  <si>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</si>
  <si>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</si>
  <si>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</si>
  <si>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</si>
  <si>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</si>
  <si>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</si>
  <si>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</si>
  <si>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</si>
  <si>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</si>
  <si>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</si>
  <si>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</si>
  <si>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</si>
  <si>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</si>
  <si>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</si>
  <si>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</si>
  <si>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</si>
  <si>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</si>
  <si>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</si>
  <si>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</si>
  <si>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</si>
  <si>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</si>
  <si>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</si>
  <si>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</si>
  <si>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</si>
  <si>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</si>
  <si>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</si>
  <si>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</si>
  <si>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</si>
  <si>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</si>
  <si>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</si>
  <si>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</si>
  <si>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</si>
  <si>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</si>
  <si>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</si>
  <si>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</si>
  <si>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</si>
  <si>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</si>
  <si>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</si>
  <si>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</si>
  <si>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</si>
  <si>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</si>
  <si>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</si>
  <si>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</si>
  <si>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</si>
  <si>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</si>
  <si>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</si>
  <si>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</si>
  <si>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</si>
  <si>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</si>
  <si>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</si>
  <si>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</si>
  <si>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</si>
  <si>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</si>
  <si>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</si>
  <si>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</si>
  <si>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</si>
  <si>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</si>
  <si>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</si>
  <si>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</si>
  <si>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</si>
  <si>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</si>
  <si>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</si>
  <si>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</si>
  <si>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</si>
  <si>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</si>
  <si>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</si>
  <si>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</si>
  <si>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</si>
  <si>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</si>
  <si>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</si>
  <si>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</si>
  <si>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</si>
  <si>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</si>
  <si>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</si>
  <si>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</si>
  <si>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</si>
  <si>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</si>
  <si>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</si>
  <si>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</si>
  <si>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</si>
  <si>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</si>
  <si>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</si>
  <si>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</si>
  <si>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</si>
  <si>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</si>
  <si>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</si>
  <si>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</si>
  <si>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</si>
  <si>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</si>
  <si>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</si>
  <si>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</si>
  <si>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</si>
  <si>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</si>
  <si>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</si>
  <si>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</si>
  <si>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</si>
  <si>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</si>
  <si>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</si>
  <si>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</si>
  <si>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</si>
  <si>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</si>
  <si>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</si>
  <si>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</si>
  <si>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</si>
  <si>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</si>
  <si>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</si>
  <si>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</si>
  <si>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</si>
  <si>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</si>
  <si>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</si>
  <si>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</si>
  <si>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</si>
  <si>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</si>
  <si>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</si>
  <si>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</si>
  <si>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</si>
  <si>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</si>
  <si>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</si>
  <si>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</si>
  <si>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</si>
  <si>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</si>
  <si>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</si>
  <si>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</si>
  <si>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</si>
  <si>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</si>
  <si>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</si>
  <si>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</si>
  <si>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</si>
  <si>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</si>
  <si>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</si>
  <si>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</si>
  <si>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</si>
  <si>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</si>
  <si>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</si>
  <si>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</si>
  <si>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</si>
  <si>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</si>
  <si>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</si>
  <si>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</si>
  <si>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</si>
  <si>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</si>
  <si>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</si>
  <si>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</si>
  <si>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</si>
  <si>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</si>
  <si>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</si>
  <si>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</si>
  <si>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</si>
  <si>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</si>
  <si>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</si>
  <si>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</si>
  <si>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</si>
  <si>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</si>
  <si>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</si>
  <si>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</si>
  <si>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</si>
  <si>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</si>
  <si>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</si>
  <si>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</si>
  <si>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</si>
  <si>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</si>
  <si>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</si>
  <si>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</si>
  <si>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</si>
  <si>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</si>
  <si>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</si>
  <si>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</si>
  <si>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</si>
  <si>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</si>
  <si>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</si>
  <si>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</si>
  <si>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</si>
  <si>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</si>
  <si>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</si>
  <si>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</si>
  <si>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</si>
  <si>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</si>
  <si>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</si>
  <si>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</si>
  <si>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</si>
  <si>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</si>
  <si>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</si>
  <si>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</si>
  <si>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</si>
  <si>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</si>
  <si>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</si>
  <si>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</si>
  <si>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</si>
  <si>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</si>
  <si>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</si>
  <si>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</si>
  <si>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</si>
  <si>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</si>
  <si>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</si>
  <si>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</si>
  <si>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</si>
  <si>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</si>
  <si>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</si>
  <si>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</si>
  <si>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</si>
  <si>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</si>
  <si>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</si>
  <si>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</si>
  <si>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</si>
  <si>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</si>
  <si>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</si>
  <si>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</si>
  <si>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</si>
  <si>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</si>
  <si>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</si>
  <si>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</si>
  <si>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</si>
  <si>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</si>
  <si>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</si>
  <si>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</si>
  <si>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</si>
  <si>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</si>
  <si>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</si>
  <si>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</si>
  <si>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</si>
  <si>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</si>
  <si>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</si>
  <si>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</si>
  <si>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</si>
  <si>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</si>
  <si>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</si>
  <si>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</si>
  <si>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</si>
  <si>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</si>
  <si>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</si>
  <si>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</si>
  <si>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</si>
  <si>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</si>
  <si>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</si>
  <si>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</si>
  <si>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</si>
  <si>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</si>
  <si>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</si>
  <si>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</si>
  <si>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</si>
  <si>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</si>
  <si>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</si>
  <si>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</si>
  <si>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</si>
  <si>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</si>
  <si>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</si>
  <si>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</si>
  <si>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</si>
  <si>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</si>
  <si>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</si>
  <si>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</si>
  <si>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</si>
  <si>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</si>
  <si>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</si>
  <si>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</si>
  <si>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</si>
  <si>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</si>
  <si>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</si>
  <si>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</si>
  <si>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</si>
  <si>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</si>
  <si>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</si>
  <si>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</si>
  <si>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</si>
  <si>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</si>
  <si>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</si>
  <si>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</si>
  <si>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</si>
  <si>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</si>
  <si>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</si>
  <si>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</si>
  <si>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</si>
  <si>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</si>
  <si>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</si>
  <si>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</si>
  <si>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</si>
  <si>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</si>
  <si>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</si>
  <si>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</si>
  <si>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</si>
  <si>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</si>
  <si>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</si>
  <si>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</si>
  <si>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</si>
  <si>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</si>
  <si>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</si>
  <si>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</si>
  <si>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</si>
  <si>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</si>
  <si>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</si>
  <si>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</si>
  <si>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</si>
  <si>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</si>
  <si>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</si>
  <si>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</si>
  <si>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</si>
  <si>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</si>
  <si>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</si>
  <si>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</si>
  <si>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</si>
  <si>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</si>
  <si>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</si>
  <si>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</si>
  <si>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</si>
  <si>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</si>
  <si>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</si>
  <si>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</si>
  <si>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</si>
  <si>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</si>
  <si>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</si>
  <si>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</si>
  <si>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</si>
  <si>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</si>
  <si>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</si>
  <si>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</si>
  <si>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</si>
  <si>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</si>
  <si>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</si>
  <si>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</si>
  <si>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</si>
  <si>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</si>
  <si>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</si>
  <si>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</si>
  <si>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</si>
  <si>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</si>
  <si>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</si>
  <si>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</si>
  <si>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</si>
  <si>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</si>
  <si>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</si>
  <si>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</si>
  <si>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</si>
  <si>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</si>
  <si>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</si>
  <si>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</si>
  <si>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</si>
  <si>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</si>
  <si>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</si>
  <si>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</si>
  <si>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</si>
  <si>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</si>
  <si>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</si>
  <si>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</si>
  <si>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</si>
  <si>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</si>
  <si>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</si>
  <si>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</si>
  <si>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</si>
  <si>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</si>
  <si>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</si>
  <si>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</si>
  <si>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</si>
  <si>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</si>
  <si>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</si>
  <si>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</si>
  <si>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</si>
  <si>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</si>
  <si>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</si>
  <si>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</si>
  <si>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</si>
  <si>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</si>
  <si>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</si>
  <si>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</si>
  <si>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</si>
  <si>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</si>
  <si>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</si>
  <si>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</si>
  <si>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</si>
  <si>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</si>
  <si>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</si>
  <si>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</si>
  <si>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</si>
  <si>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</si>
  <si>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</si>
  <si>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</si>
  <si>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</si>
  <si>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</si>
  <si>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</si>
  <si>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</si>
  <si>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</si>
  <si>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</si>
  <si>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</si>
  <si>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</si>
  <si>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</si>
  <si>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</si>
  <si>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</si>
  <si>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</si>
  <si>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</si>
  <si>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</si>
  <si>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</si>
  <si>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</si>
  <si>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</si>
  <si>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</si>
  <si>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</si>
  <si>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</si>
  <si>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</si>
  <si>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</si>
  <si>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</si>
  <si>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</si>
  <si>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</si>
  <si>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</si>
  <si>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</si>
  <si>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</si>
  <si>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</si>
  <si>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</si>
  <si>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</si>
  <si>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</si>
  <si>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</si>
  <si>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</si>
  <si>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</si>
  <si>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</si>
  <si>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</si>
  <si>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</si>
  <si>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</si>
  <si>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</si>
  <si>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</si>
  <si>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</si>
  <si>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</si>
  <si>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</si>
  <si>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</si>
  <si>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</si>
  <si>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</si>
  <si>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</si>
  <si>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</si>
  <si>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</si>
  <si>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</si>
  <si>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</si>
  <si>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</si>
  <si>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</si>
  <si>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</si>
  <si>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</si>
  <si>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</si>
  <si>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</si>
  <si>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</si>
  <si>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</si>
  <si>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</si>
  <si>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</si>
  <si>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</si>
  <si>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</si>
  <si>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</si>
  <si>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</si>
  <si>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</si>
  <si>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</si>
  <si>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</si>
  <si>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</si>
  <si>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</si>
  <si>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</si>
  <si>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</si>
  <si>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</si>
  <si>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</si>
  <si>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</si>
  <si>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</si>
  <si>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</si>
  <si>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</si>
  <si>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</si>
  <si>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</si>
  <si>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</si>
  <si>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</si>
  <si>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</si>
  <si>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</si>
  <si>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</si>
  <si>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</si>
  <si>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</si>
  <si>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</si>
  <si>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</si>
  <si>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</si>
  <si>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</si>
  <si>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</si>
  <si>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</si>
  <si>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</si>
  <si>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</si>
  <si>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</si>
  <si>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</si>
  <si>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</si>
  <si>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</si>
  <si>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</si>
  <si>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</si>
  <si>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</si>
  <si>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</si>
  <si>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</si>
  <si>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</si>
  <si>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</si>
  <si>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</si>
  <si>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</si>
  <si>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</si>
  <si>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</si>
  <si>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</si>
  <si>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</si>
  <si>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</si>
  <si>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</si>
  <si>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</si>
  <si>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</si>
  <si>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</si>
  <si>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</si>
  <si>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</si>
  <si>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</si>
  <si>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</si>
  <si>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</si>
  <si>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</si>
  <si>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</si>
  <si>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</si>
  <si>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</si>
  <si>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</si>
  <si>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</si>
  <si>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</si>
  <si>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</si>
  <si>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</si>
  <si>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</si>
  <si>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</si>
  <si>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</si>
  <si>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</si>
  <si>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</si>
  <si>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</si>
  <si>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</si>
  <si>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</si>
  <si>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</si>
  <si>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</si>
  <si>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</si>
  <si>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</si>
  <si>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</si>
  <si>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</si>
  <si>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</si>
  <si>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</si>
  <si>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</si>
  <si>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</si>
  <si>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</si>
  <si>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</si>
  <si>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</si>
  <si>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</si>
  <si>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</si>
  <si>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</si>
  <si>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</si>
  <si>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</si>
  <si>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</si>
  <si>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</si>
  <si>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</si>
  <si>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</si>
  <si>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</si>
  <si>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</si>
  <si>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</si>
  <si>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</si>
  <si>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</si>
  <si>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</si>
  <si>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</si>
  <si>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</si>
  <si>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</si>
  <si>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</si>
  <si>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</si>
  <si>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</si>
  <si>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</si>
  <si>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</si>
  <si>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</si>
  <si>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</si>
  <si>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</si>
  <si>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</si>
  <si>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</si>
  <si>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</si>
  <si>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</si>
  <si>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</si>
  <si>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</si>
  <si>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</si>
  <si>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</si>
  <si>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</si>
  <si>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</si>
  <si>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</si>
  <si>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</si>
  <si>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</si>
  <si>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</si>
  <si>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</si>
  <si>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</si>
  <si>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</si>
  <si>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</si>
  <si>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</si>
  <si>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</si>
  <si>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</si>
  <si>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</si>
  <si>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</si>
  <si>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</si>
  <si>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</si>
  <si>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</si>
  <si>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</si>
  <si>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</si>
  <si>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</si>
  <si>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</si>
  <si>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</si>
  <si>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</si>
  <si>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</si>
  <si>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</si>
  <si>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</si>
  <si>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</si>
  <si>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</si>
  <si>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</si>
  <si>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</si>
  <si>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</si>
  <si>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</si>
  <si>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</si>
  <si>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</si>
  <si>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</si>
  <si>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</si>
  <si>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</si>
  <si>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</si>
  <si>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</si>
  <si>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</si>
  <si>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</si>
  <si>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</si>
  <si>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</si>
  <si>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</si>
  <si>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</si>
  <si>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</si>
  <si>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</si>
  <si>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</si>
  <si>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</si>
  <si>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</si>
  <si>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</si>
  <si>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</si>
  <si>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</si>
  <si>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</si>
  <si>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</si>
  <si>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</si>
  <si>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</si>
  <si>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</si>
  <si>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</si>
  <si>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</si>
  <si>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</si>
  <si>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</si>
  <si>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</si>
  <si>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</si>
  <si>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</si>
  <si>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</si>
  <si>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</si>
  <si>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</si>
  <si>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</si>
  <si>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</si>
  <si>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</si>
  <si>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</si>
  <si>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</si>
  <si>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</si>
  <si>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</si>
  <si>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</si>
  <si>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</si>
  <si>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</si>
  <si>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</si>
  <si>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</si>
  <si>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</si>
  <si>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</si>
  <si>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</si>
  <si>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</si>
  <si>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</si>
  <si>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</si>
  <si>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</si>
  <si>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</si>
  <si>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</si>
  <si>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</si>
  <si>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</si>
  <si>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</si>
  <si>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</si>
  <si>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</si>
  <si>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</si>
  <si>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</si>
  <si>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</si>
  <si>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</si>
  <si>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</si>
  <si>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</si>
  <si>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</si>
  <si>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</si>
  <si>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</si>
  <si>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</si>
  <si>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</si>
  <si>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</si>
  <si>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</si>
  <si>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</si>
  <si>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</si>
  <si>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</si>
  <si>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</si>
  <si>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</si>
  <si>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</si>
  <si>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</si>
  <si>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</si>
  <si>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</si>
  <si>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</si>
  <si>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</si>
  <si>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</si>
  <si>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</si>
  <si>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</si>
  <si>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</si>
  <si>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</si>
  <si>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</si>
  <si>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</si>
  <si>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</si>
  <si>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</si>
  <si>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</si>
  <si>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</si>
  <si>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</si>
  <si>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</si>
  <si>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</si>
  <si>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</si>
  <si>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</si>
  <si>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</si>
  <si>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</si>
  <si>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</si>
  <si>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</si>
  <si>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</si>
  <si>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</si>
  <si>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</si>
  <si>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</si>
  <si>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</si>
  <si>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</si>
  <si>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</si>
  <si>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</si>
  <si>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</si>
  <si>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</si>
  <si>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</si>
  <si>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</si>
  <si>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</si>
  <si>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</si>
  <si>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</si>
  <si>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</si>
  <si>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</si>
  <si>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</si>
  <si>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</si>
  <si>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</si>
  <si>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</si>
  <si>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</si>
  <si>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</si>
  <si>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</si>
  <si>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</si>
  <si>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</si>
  <si>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</si>
  <si>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</si>
  <si>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</si>
  <si>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</si>
  <si>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</si>
  <si>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</si>
  <si>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</si>
  <si>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</si>
  <si>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</si>
  <si>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</si>
  <si>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</si>
  <si>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</si>
  <si>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</si>
  <si>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</si>
  <si>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</si>
  <si>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</si>
  <si>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</si>
  <si>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</si>
  <si>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</si>
  <si>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</si>
  <si>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</si>
  <si>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</si>
  <si>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</si>
  <si>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</si>
  <si>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</si>
  <si>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</si>
  <si>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</si>
  <si>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</si>
  <si>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</si>
  <si>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</si>
  <si>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</si>
  <si>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</si>
  <si>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</si>
  <si>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</si>
  <si>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</si>
  <si>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</si>
  <si>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</si>
  <si>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</si>
  <si>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</si>
  <si>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</si>
  <si>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</si>
  <si>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</si>
  <si>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</si>
  <si>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</si>
  <si>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</si>
  <si>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</si>
  <si>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</si>
  <si>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</si>
  <si>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</si>
  <si>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</si>
  <si>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</si>
  <si>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</si>
  <si>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</si>
  <si>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</si>
  <si>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</si>
  <si>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</si>
  <si>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</si>
  <si>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</si>
  <si>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</si>
  <si>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</si>
  <si>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</si>
  <si>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</si>
  <si>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</si>
  <si>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</si>
  <si>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</si>
  <si>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</si>
  <si>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</si>
  <si>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</si>
  <si>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</si>
  <si>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</si>
  <si>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</si>
  <si>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</si>
  <si>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</si>
  <si>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</si>
  <si>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</si>
  <si>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</si>
  <si>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</si>
  <si>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</si>
  <si>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</si>
  <si>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</si>
  <si>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</si>
  <si>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</si>
  <si>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</si>
  <si>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</si>
  <si>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</si>
  <si>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</si>
  <si>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</si>
  <si>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</si>
  <si>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</si>
  <si>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</si>
  <si>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</si>
  <si>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</si>
  <si>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</si>
  <si>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</si>
  <si>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</si>
  <si>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</si>
  <si>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</si>
  <si>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</si>
  <si>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</si>
  <si>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</si>
  <si>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</si>
  <si>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</si>
  <si>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</si>
  <si>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</si>
  <si>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</si>
  <si>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</si>
  <si>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</si>
  <si>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</si>
  <si>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</si>
  <si>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</si>
  <si>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</si>
  <si>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</si>
  <si>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</si>
  <si>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</si>
  <si>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</si>
  <si>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</si>
  <si>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</si>
  <si>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</si>
  <si>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</si>
  <si>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</si>
  <si>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</si>
  <si>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</si>
  <si>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</si>
  <si>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</si>
  <si>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</si>
  <si>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</si>
  <si>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</si>
  <si>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</si>
  <si>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</si>
  <si>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</si>
  <si>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</si>
  <si>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</si>
  <si>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</si>
  <si>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</si>
  <si>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</si>
  <si>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</si>
  <si>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</si>
  <si>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</si>
  <si>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</si>
  <si>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</si>
  <si>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</si>
  <si>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</si>
  <si>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</si>
  <si>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</si>
  <si>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</si>
  <si>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</si>
  <si>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</si>
  <si>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</si>
  <si>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</si>
  <si>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</si>
  <si>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</si>
  <si>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</si>
  <si>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</si>
  <si>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</si>
  <si>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</si>
  <si>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</si>
  <si>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</si>
  <si>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</si>
  <si>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</si>
  <si>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</si>
  <si>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</si>
  <si>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</si>
  <si>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</si>
  <si>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</si>
  <si>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</si>
  <si>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</si>
  <si>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</si>
  <si>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</si>
  <si>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</si>
  <si>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</si>
  <si>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</si>
  <si>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</si>
  <si>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</si>
  <si>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</si>
  <si>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</si>
  <si>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</si>
  <si>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</si>
  <si>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</si>
  <si>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</si>
  <si>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</si>
  <si>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</si>
  <si>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</si>
  <si>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</si>
  <si>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</si>
  <si>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</si>
  <si>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</si>
  <si>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</si>
  <si>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</si>
  <si>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</si>
  <si>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</si>
  <si>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</si>
  <si>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</si>
  <si>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</si>
  <si>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</si>
  <si>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</si>
  <si>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</si>
  <si>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</si>
  <si>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</si>
  <si>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</si>
  <si>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</si>
  <si>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</si>
  <si>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</si>
  <si>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</si>
  <si>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</si>
  <si>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</si>
  <si>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</si>
  <si>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</si>
  <si>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</si>
  <si>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</si>
  <si>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</si>
  <si>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</si>
  <si>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</si>
  <si>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</si>
  <si>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</si>
  <si>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</si>
  <si>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</si>
  <si>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</si>
  <si>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</si>
  <si>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</si>
  <si>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</si>
  <si>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</si>
  <si>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</si>
  <si>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</si>
  <si>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</si>
  <si>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</si>
  <si>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</si>
  <si>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</si>
  <si>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</si>
  <si>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</si>
  <si>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</si>
  <si>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</si>
  <si>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</si>
  <si>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</si>
  <si>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</si>
  <si>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</si>
  <si>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</si>
  <si>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</si>
  <si>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</si>
  <si>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</si>
  <si>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</si>
  <si>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</si>
  <si>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</si>
  <si>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</si>
  <si>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</si>
  <si>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</si>
  <si>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</si>
  <si>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</si>
  <si>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</si>
  <si>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</si>
  <si>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</si>
  <si>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</si>
  <si>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</si>
  <si>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</si>
  <si>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</si>
  <si>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</si>
  <si>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</si>
  <si>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</si>
  <si>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</si>
  <si>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</si>
  <si>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</si>
  <si>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</si>
  <si>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</si>
  <si>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</si>
  <si>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</si>
  <si>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</si>
  <si>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</si>
  <si>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</si>
  <si>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</si>
  <si>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</si>
  <si>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</si>
  <si>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</si>
  <si>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</si>
  <si>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</si>
  <si>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</si>
  <si>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</si>
  <si>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</si>
  <si>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</si>
  <si>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</si>
  <si>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</si>
  <si>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</si>
  <si>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</si>
  <si>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</si>
  <si>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</si>
  <si>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</si>
  <si>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</si>
  <si>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</si>
  <si>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</si>
  <si>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</si>
  <si>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</si>
  <si>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</si>
  <si>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</si>
  <si>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</si>
  <si>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</si>
  <si>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</si>
  <si>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</si>
  <si>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</si>
  <si>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</si>
  <si>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</si>
  <si>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</si>
  <si>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</si>
  <si>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</si>
  <si>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</si>
  <si>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</si>
  <si>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</si>
  <si>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</si>
  <si>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</si>
  <si>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</si>
  <si>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</si>
  <si>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</si>
  <si>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</si>
  <si>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</si>
  <si>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</si>
  <si>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</si>
  <si>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</si>
  <si>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</si>
  <si>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</si>
  <si>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</si>
  <si>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</si>
  <si>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</si>
  <si>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</si>
  <si>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</si>
  <si>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</si>
  <si>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</si>
  <si>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</si>
  <si>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</si>
  <si>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</si>
  <si>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</si>
  <si>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</si>
  <si>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</si>
  <si>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</si>
  <si>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</si>
  <si>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</si>
  <si>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</si>
  <si>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</si>
  <si>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</si>
  <si>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</si>
  <si>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</si>
  <si>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</si>
  <si>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</si>
  <si>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</si>
  <si>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</si>
  <si>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</si>
  <si>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</si>
  <si>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</si>
  <si>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</si>
  <si>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</si>
  <si>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</si>
  <si>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</si>
  <si>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</si>
  <si>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</si>
  <si>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</si>
  <si>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</si>
  <si>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</si>
  <si>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</si>
  <si>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</si>
  <si>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</si>
  <si>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</si>
  <si>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</si>
  <si>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</si>
  <si>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</si>
  <si>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</si>
  <si>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</si>
  <si>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</si>
  <si>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</si>
  <si>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</si>
  <si>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</si>
  <si>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</si>
  <si>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</si>
  <si>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</si>
  <si>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</si>
  <si>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</si>
  <si>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</si>
  <si>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</si>
  <si>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</si>
  <si>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</si>
  <si>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</si>
  <si>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</si>
  <si>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</si>
  <si>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</si>
  <si>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</si>
  <si>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</si>
  <si>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</si>
  <si>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</si>
  <si>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</si>
  <si>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</si>
  <si>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</si>
  <si>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</si>
  <si>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</si>
  <si>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</si>
  <si>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</si>
  <si>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</si>
  <si>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</si>
  <si>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</si>
  <si>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</si>
  <si>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</si>
  <si>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</si>
  <si>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</si>
  <si>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</si>
  <si>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</si>
  <si>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</si>
  <si>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</si>
  <si>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</si>
  <si>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</si>
  <si>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</si>
  <si>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</si>
  <si>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</si>
  <si>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</si>
  <si>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</si>
  <si>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</si>
  <si>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</si>
  <si>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</si>
  <si>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</si>
  <si>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</si>
  <si>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</si>
  <si>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</si>
  <si>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</si>
  <si>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</si>
  <si>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</si>
  <si>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</si>
  <si>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</si>
  <si>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</si>
  <si>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</si>
  <si>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</si>
  <si>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</si>
  <si>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</si>
  <si>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</si>
  <si>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</si>
  <si>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</si>
  <si>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</si>
  <si>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</si>
  <si>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</si>
  <si>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</si>
  <si>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</si>
  <si>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</si>
  <si>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</si>
  <si>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</si>
  <si>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</si>
  <si>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</si>
  <si>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</si>
  <si>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</si>
  <si>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</si>
  <si>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</si>
  <si>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</si>
  <si>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</si>
  <si>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</si>
  <si>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</si>
  <si>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</si>
  <si>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</si>
  <si>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</si>
  <si>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</si>
  <si>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</si>
  <si>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</si>
  <si>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</si>
  <si>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</si>
  <si>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</si>
  <si>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</si>
  <si>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</si>
  <si>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</si>
  <si>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</si>
  <si>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</si>
  <si>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</si>
  <si>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</si>
  <si>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</si>
  <si>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</si>
  <si>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</si>
  <si>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</si>
  <si>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</si>
  <si>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</si>
  <si>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</si>
  <si>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</si>
  <si>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</si>
  <si>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</si>
  <si>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</si>
  <si>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</si>
  <si>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</si>
  <si>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</si>
  <si>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</si>
  <si>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</si>
  <si>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</si>
  <si>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</si>
  <si>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</si>
  <si>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</si>
  <si>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</si>
  <si>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</si>
  <si>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</si>
  <si>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</si>
  <si>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</si>
  <si>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</si>
  <si>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</si>
  <si>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</si>
  <si>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</si>
  <si>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</si>
  <si>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</si>
  <si>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</si>
  <si>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</si>
  <si>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</si>
  <si>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</si>
  <si>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</si>
  <si>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</si>
  <si>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</si>
  <si>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</si>
  <si>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</si>
  <si>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</si>
  <si>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</si>
  <si>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</si>
  <si>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</si>
  <si>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</si>
  <si>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</si>
  <si>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</si>
  <si>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</si>
  <si>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</si>
  <si>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</si>
  <si>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</si>
  <si>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</si>
  <si>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</si>
  <si>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</si>
  <si>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</si>
  <si>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</si>
  <si>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</si>
  <si>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</si>
  <si>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</si>
  <si>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</si>
  <si>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</si>
  <si>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</si>
  <si>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</si>
  <si>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</si>
  <si>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</si>
  <si>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</si>
  <si>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</si>
  <si>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</si>
  <si>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</si>
  <si>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</si>
  <si>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</si>
  <si>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</si>
  <si>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</si>
  <si>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</si>
  <si>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</si>
  <si>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</si>
  <si>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</si>
  <si>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</si>
  <si>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</si>
  <si>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</si>
  <si>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</si>
  <si>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</si>
  <si>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</si>
  <si>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</si>
  <si>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</si>
  <si>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</si>
  <si>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</si>
  <si>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</si>
  <si>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</si>
  <si>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</si>
  <si>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</si>
  <si>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</si>
  <si>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</si>
  <si>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</si>
  <si>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</si>
  <si>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</si>
  <si>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</si>
  <si>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</si>
  <si>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</si>
  <si>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</si>
  <si>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</si>
  <si>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</si>
  <si>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</si>
  <si>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</si>
  <si>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</si>
  <si>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</si>
  <si>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</si>
  <si>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</si>
  <si>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</si>
  <si>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</si>
  <si>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</si>
  <si>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</si>
  <si>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</si>
  <si>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</si>
  <si>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</si>
  <si>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</si>
  <si>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</si>
  <si>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</si>
  <si>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</si>
  <si>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</si>
  <si>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</si>
  <si>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</si>
  <si>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</si>
  <si>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</si>
  <si>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</si>
  <si>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</si>
  <si>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</si>
  <si>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</si>
  <si>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</si>
  <si>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</si>
  <si>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</si>
  <si>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</si>
  <si>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</si>
  <si>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</si>
  <si>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</si>
  <si>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</si>
  <si>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</si>
  <si>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</si>
  <si>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</si>
  <si>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</si>
  <si>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</si>
  <si>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</si>
  <si>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</si>
  <si>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</si>
  <si>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</si>
  <si>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</si>
  <si>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</si>
  <si>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</si>
  <si>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</si>
  <si>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</si>
  <si>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</si>
  <si>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</si>
  <si>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</si>
  <si>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</si>
  <si>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</si>
  <si>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</si>
  <si>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</si>
  <si>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</si>
  <si>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</si>
  <si>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</si>
  <si>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</si>
  <si>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</si>
  <si>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</si>
  <si>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</si>
  <si>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</si>
  <si>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</si>
  <si>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</si>
  <si>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</si>
  <si>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</si>
  <si>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</si>
  <si>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</si>
  <si>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</si>
  <si>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</si>
  <si>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</si>
  <si>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</si>
  <si>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</si>
  <si>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</si>
  <si>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</si>
  <si>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</si>
  <si>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</si>
  <si>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</si>
  <si>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</si>
  <si>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</si>
  <si>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</si>
  <si>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</si>
  <si>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</si>
  <si>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</si>
  <si>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</si>
  <si>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</si>
  <si>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</si>
  <si>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</si>
  <si>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</si>
  <si>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</si>
  <si>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</si>
  <si>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</si>
  <si>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</si>
  <si>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</si>
  <si>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</si>
  <si>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</si>
  <si>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</si>
  <si>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</si>
  <si>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</si>
  <si>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</si>
  <si>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</si>
  <si>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</si>
  <si>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</si>
  <si>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</si>
  <si>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</si>
  <si>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</si>
  <si>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</si>
  <si>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</si>
  <si>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</si>
  <si>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</si>
  <si>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</si>
  <si>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</si>
  <si>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</si>
  <si>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</si>
  <si>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</si>
  <si>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</si>
  <si>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</si>
  <si>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</si>
  <si>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</si>
  <si>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</si>
  <si>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</si>
  <si>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</si>
  <si>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</si>
  <si>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</si>
  <si>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</si>
  <si>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</si>
  <si>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</si>
  <si>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</si>
  <si>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</si>
  <si>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</si>
  <si>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</si>
  <si>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</si>
  <si>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</si>
  <si>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</si>
  <si>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</si>
  <si>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</si>
  <si>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</si>
  <si>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</si>
  <si>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</si>
  <si>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</si>
  <si>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</si>
  <si>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</si>
  <si>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</si>
  <si>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</si>
  <si>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</si>
  <si>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</si>
  <si>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</si>
  <si>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</si>
  <si>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</si>
  <si>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</si>
  <si>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</si>
  <si>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</si>
  <si>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</si>
  <si>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</si>
  <si>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</si>
  <si>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</si>
  <si>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</si>
  <si>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</si>
  <si>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</si>
  <si>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</si>
  <si>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</si>
  <si>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</si>
  <si>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</si>
  <si>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</si>
  <si>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</si>
  <si>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</si>
  <si>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</si>
  <si>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</si>
  <si>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</si>
  <si>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</si>
  <si>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</si>
  <si>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</si>
  <si>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</si>
  <si>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</si>
  <si>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</si>
  <si>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</si>
  <si>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</si>
  <si>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</si>
  <si>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</si>
  <si>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</si>
  <si>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</si>
  <si>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</si>
  <si>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</si>
  <si>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</si>
  <si>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</si>
  <si>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</si>
  <si>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</si>
  <si>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</si>
  <si>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</si>
  <si>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</si>
  <si>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</si>
  <si>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</si>
  <si>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</si>
  <si>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</si>
  <si>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</si>
  <si>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</si>
  <si>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</si>
  <si>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</si>
  <si>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</si>
  <si>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</si>
  <si>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</si>
  <si>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</si>
  <si>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</si>
  <si>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</si>
  <si>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</si>
  <si>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</si>
  <si>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</si>
  <si>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</si>
  <si>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</si>
  <si>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</si>
  <si>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</si>
  <si>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</si>
  <si>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</si>
  <si>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</si>
  <si>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</si>
  <si>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</si>
  <si>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</si>
  <si>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</si>
  <si>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</si>
  <si>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</si>
  <si>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</si>
  <si>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</si>
  <si>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</si>
  <si>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</si>
  <si>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</si>
  <si>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</si>
  <si>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</si>
  <si>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</si>
  <si>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</si>
  <si>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</si>
  <si>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</si>
  <si>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</si>
  <si>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</si>
  <si>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</si>
  <si>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</si>
  <si>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</si>
  <si>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</si>
  <si>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</si>
  <si>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</si>
  <si>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</si>
  <si>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</si>
  <si>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</si>
  <si>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</si>
  <si>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</si>
  <si>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</si>
  <si>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</si>
  <si>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</si>
  <si>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</si>
  <si>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</si>
  <si>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</si>
  <si>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</si>
  <si>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</si>
  <si>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</si>
  <si>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</si>
  <si>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</si>
  <si>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</si>
  <si>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</si>
  <si>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</si>
  <si>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</si>
  <si>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</si>
  <si>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</si>
  <si>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</si>
  <si>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</si>
  <si>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</si>
  <si>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</si>
  <si>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</si>
  <si>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</si>
  <si>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</si>
  <si>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</si>
  <si>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</si>
  <si>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</si>
  <si>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</si>
  <si>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</si>
  <si>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</si>
  <si>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</si>
  <si>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</si>
  <si>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</si>
  <si>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</si>
  <si>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</si>
  <si>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</si>
  <si>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</si>
  <si>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</si>
  <si>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</si>
  <si>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</si>
  <si>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</si>
  <si>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</si>
  <si>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</si>
  <si>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</si>
  <si>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</si>
  <si>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</si>
  <si>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</si>
  <si>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</si>
  <si>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</si>
  <si>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</si>
  <si>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</si>
  <si>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</si>
  <si>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</si>
  <si>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</si>
  <si>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</si>
  <si>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</si>
  <si>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</si>
  <si>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</si>
  <si>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</si>
  <si>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</si>
  <si>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</si>
  <si>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</si>
  <si>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</si>
  <si>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</si>
  <si>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</si>
  <si>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</si>
  <si>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</si>
  <si>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</si>
  <si>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</si>
  <si>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</si>
  <si>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</si>
  <si>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</si>
  <si>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</si>
  <si>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</si>
  <si>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</si>
  <si>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</si>
  <si>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</si>
  <si>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</si>
  <si>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</si>
  <si>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</si>
  <si>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</si>
  <si>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</si>
  <si>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</si>
  <si>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</si>
  <si>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</si>
  <si>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</si>
  <si>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</si>
  <si>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</si>
  <si>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</si>
  <si>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</si>
  <si>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</si>
  <si>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</si>
  <si>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</si>
  <si>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</si>
  <si>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</si>
  <si>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</si>
  <si>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</si>
  <si>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</si>
  <si>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</si>
  <si>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</si>
  <si>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</si>
  <si>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</si>
  <si>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</si>
  <si>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</si>
  <si>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</si>
  <si>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</si>
  <si>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</si>
  <si>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</si>
  <si>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</si>
  <si>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</si>
  <si>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</si>
  <si>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</si>
  <si>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</si>
  <si>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</si>
  <si>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</si>
  <si>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</si>
  <si>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</si>
  <si>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</si>
  <si>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</si>
  <si>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</si>
  <si>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</si>
  <si>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</si>
  <si>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</si>
  <si>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</si>
  <si>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</si>
  <si>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</si>
  <si>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</si>
  <si>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</si>
  <si>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</si>
  <si>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</si>
  <si>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</si>
  <si>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</si>
  <si>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</si>
  <si>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</si>
  <si>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</si>
  <si>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</si>
  <si>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</si>
  <si>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</si>
  <si>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</si>
  <si>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</si>
  <si>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</si>
  <si>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</si>
  <si>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</si>
  <si>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</si>
  <si>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</si>
  <si>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</si>
  <si>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</si>
  <si>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</si>
  <si>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</si>
  <si>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</si>
  <si>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</si>
  <si>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</si>
  <si>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</si>
  <si>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</si>
  <si>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</si>
  <si>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</si>
  <si>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</si>
  <si>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</si>
  <si>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</si>
  <si>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</si>
  <si>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</si>
  <si>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</si>
  <si>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</si>
  <si>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</si>
  <si>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</si>
  <si>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</si>
  <si>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</si>
  <si>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</si>
  <si>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</si>
  <si>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</si>
  <si>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</si>
  <si>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</si>
  <si>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</si>
  <si>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</si>
  <si>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</si>
  <si>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</si>
  <si>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</si>
  <si>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</si>
  <si>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</si>
  <si>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</si>
  <si>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</si>
  <si>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</si>
  <si>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</si>
  <si>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</si>
  <si>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</si>
  <si>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</si>
  <si>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</si>
  <si>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</si>
  <si>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</si>
  <si>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</si>
  <si>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</si>
  <si>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</si>
  <si>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</si>
  <si>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</si>
  <si>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</si>
  <si>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</si>
  <si>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</si>
  <si>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</si>
  <si>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</si>
  <si>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</si>
  <si>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</si>
  <si>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</si>
  <si>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</si>
  <si>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</si>
  <si>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</si>
  <si>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</si>
  <si>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</si>
  <si>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</si>
  <si>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</si>
  <si>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</si>
  <si>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</si>
  <si>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</si>
  <si>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</si>
  <si>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</si>
  <si>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</si>
  <si>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</si>
  <si>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</si>
  <si>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</si>
  <si>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</si>
  <si>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</si>
  <si>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</si>
  <si>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</si>
  <si>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</si>
  <si>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</si>
  <si>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</si>
  <si>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</si>
  <si>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</si>
  <si>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</si>
  <si>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</si>
  <si>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</si>
  <si>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</si>
  <si>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</si>
  <si>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</si>
  <si>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</si>
  <si>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</si>
  <si>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</si>
  <si>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</si>
  <si>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</si>
  <si>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</si>
  <si>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</si>
  <si>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</si>
  <si>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</si>
  <si>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</si>
  <si>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</si>
  <si>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</si>
  <si>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</si>
  <si>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</si>
  <si>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</si>
  <si>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</si>
  <si>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</si>
  <si>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</si>
  <si>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</si>
  <si>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</si>
  <si>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</si>
  <si>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</si>
  <si>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</si>
  <si>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</si>
  <si>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</si>
  <si>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</si>
  <si>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</si>
  <si>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</si>
  <si>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</si>
  <si>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</si>
  <si>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</si>
  <si>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</si>
  <si>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</si>
  <si>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</si>
  <si>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</si>
  <si>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</si>
  <si>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</si>
  <si>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</si>
  <si>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</si>
  <si>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</si>
  <si>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</si>
  <si>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</si>
  <si>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</si>
  <si>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</si>
  <si>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</si>
  <si>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</si>
  <si>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</si>
  <si>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</si>
  <si>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</si>
  <si>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</si>
  <si>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</si>
  <si>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</si>
  <si>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</si>
  <si>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</si>
  <si>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</si>
  <si>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</si>
  <si>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</si>
  <si>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</si>
  <si>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</si>
  <si>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</si>
  <si>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</si>
  <si>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</si>
  <si>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</si>
  <si>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</si>
  <si>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</si>
  <si>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</si>
  <si>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</si>
  <si>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</si>
  <si>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</si>
  <si>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</si>
  <si>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</si>
  <si>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</si>
  <si>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</si>
  <si>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</si>
  <si>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</si>
  <si>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</si>
  <si>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</si>
  <si>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</si>
  <si>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</si>
  <si>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</si>
  <si>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</si>
  <si>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</si>
  <si>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</si>
  <si>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</si>
  <si>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</si>
  <si>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</si>
  <si>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</si>
  <si>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</si>
  <si>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</si>
  <si>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</si>
  <si>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</si>
  <si>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</si>
  <si>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</si>
  <si>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</si>
  <si>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</si>
  <si>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</si>
  <si>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</si>
  <si>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</si>
  <si>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</si>
  <si>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</si>
  <si>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</si>
  <si>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</si>
  <si>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</si>
  <si>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</si>
  <si>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</si>
  <si>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</si>
  <si>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</si>
  <si>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</si>
  <si>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</si>
  <si>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</si>
  <si>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</si>
  <si>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</si>
  <si>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</si>
  <si>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</si>
  <si>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</si>
  <si>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</si>
  <si>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</si>
  <si>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</si>
  <si>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</si>
  <si>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</si>
  <si>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</si>
  <si>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</si>
  <si>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</si>
  <si>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</si>
  <si>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</si>
  <si>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</si>
  <si>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</si>
  <si>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</si>
  <si>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</si>
  <si>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</si>
  <si>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</si>
  <si>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</si>
  <si>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</si>
  <si>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</si>
  <si>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</si>
  <si>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</si>
  <si>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</si>
  <si>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</si>
  <si>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</si>
  <si>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</si>
  <si>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</si>
  <si>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</si>
  <si>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</si>
  <si>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</si>
  <si>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</si>
  <si>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</si>
  <si>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</si>
  <si>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</si>
  <si>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</si>
  <si>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</si>
  <si>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</si>
  <si>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</si>
  <si>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</si>
  <si>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</si>
  <si>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</si>
  <si>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</si>
  <si>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</si>
  <si>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</si>
  <si>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</si>
  <si>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</si>
  <si>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</si>
  <si>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</si>
  <si>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</si>
  <si>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</si>
  <si>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</si>
  <si>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</si>
  <si>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</si>
  <si>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</si>
  <si>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</si>
  <si>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</si>
  <si>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</si>
  <si>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</si>
  <si>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</si>
  <si>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</si>
  <si>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</si>
  <si>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</si>
  <si>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</si>
  <si>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</si>
  <si>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</si>
  <si>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</si>
  <si>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</si>
  <si>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</si>
  <si>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</si>
  <si>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</si>
  <si>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</si>
  <si>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</si>
  <si>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</si>
  <si>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</si>
  <si>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</si>
  <si>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</si>
  <si>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</si>
  <si>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</si>
  <si>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</si>
  <si>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</si>
  <si>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</si>
  <si>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</si>
  <si>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</si>
  <si>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</si>
  <si>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</si>
  <si>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</si>
  <si>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</si>
  <si>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</si>
  <si>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</si>
  <si>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</si>
  <si>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</si>
  <si>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</si>
  <si>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</si>
  <si>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</si>
  <si>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</si>
  <si>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</si>
  <si>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</si>
  <si>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</si>
  <si>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</si>
  <si>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</si>
  <si>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</si>
  <si>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</si>
  <si>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</si>
  <si>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</si>
  <si>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</si>
  <si>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</si>
  <si>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</si>
  <si>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</si>
  <si>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</si>
  <si>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</si>
  <si>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</si>
  <si>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</si>
  <si>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</si>
  <si>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</si>
  <si>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</si>
  <si>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</si>
  <si>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</si>
  <si>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</si>
  <si>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</si>
  <si>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</si>
  <si>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</si>
  <si>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</si>
  <si>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</si>
  <si>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</si>
  <si>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</si>
  <si>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</si>
  <si>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</si>
  <si>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</si>
  <si>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</si>
  <si>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</si>
  <si>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</si>
  <si>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</si>
  <si>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</si>
  <si>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</si>
  <si>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</si>
  <si>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</si>
  <si>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</si>
  <si>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</si>
  <si>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</si>
  <si>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</si>
  <si>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</si>
  <si>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</si>
  <si>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</si>
  <si>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</si>
  <si>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</si>
  <si>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</si>
  <si>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</si>
  <si>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</si>
  <si>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</si>
  <si>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</si>
  <si>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</si>
  <si>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</si>
  <si>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</si>
  <si>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</si>
  <si>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</si>
  <si>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</si>
  <si>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</si>
  <si>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</si>
  <si>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</si>
  <si>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</si>
  <si>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</si>
  <si>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</si>
  <si>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</si>
  <si>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</si>
  <si>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</si>
  <si>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</si>
  <si>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</si>
  <si>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</si>
  <si>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</si>
  <si>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</si>
  <si>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</si>
  <si>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</si>
  <si>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</si>
  <si>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</si>
  <si>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</si>
  <si>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</si>
  <si>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</si>
  <si>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</si>
  <si>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</si>
  <si>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</si>
  <si>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</si>
  <si>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</si>
  <si>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</si>
  <si>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</si>
  <si>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</si>
  <si>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</si>
  <si>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</si>
  <si>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</si>
  <si>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</si>
  <si>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</si>
  <si>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</si>
  <si>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</si>
  <si>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</si>
  <si>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</si>
  <si>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</si>
  <si>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</si>
  <si>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</si>
  <si>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</si>
  <si>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</si>
  <si>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</si>
  <si>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</si>
  <si>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</si>
  <si>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</si>
  <si>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</si>
  <si>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</si>
  <si>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</si>
  <si>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</si>
  <si>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</si>
  <si>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</si>
  <si>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</si>
  <si>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</si>
  <si>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</si>
  <si>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</si>
  <si>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</si>
  <si>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</si>
  <si>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</si>
  <si>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</si>
  <si>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</si>
  <si>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</si>
  <si>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</si>
  <si>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</si>
  <si>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</si>
  <si>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</si>
  <si>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</si>
  <si>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</si>
  <si>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</si>
  <si>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</si>
  <si>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</si>
  <si>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</si>
  <si>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</si>
  <si>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</si>
  <si>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</si>
  <si>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</si>
  <si>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</si>
  <si>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</si>
  <si>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</si>
  <si>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</si>
  <si>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</si>
  <si>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</si>
  <si>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</si>
  <si>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</si>
  <si>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</si>
  <si>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</si>
  <si>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</si>
  <si>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</si>
  <si>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</si>
  <si>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</si>
  <si>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</si>
  <si>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</si>
  <si>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</si>
  <si>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</si>
  <si>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</si>
  <si>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</si>
  <si>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</si>
  <si>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</si>
  <si>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</si>
  <si>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</si>
  <si>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</si>
  <si>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</si>
  <si>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</si>
  <si>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</si>
  <si>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</si>
  <si>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</si>
  <si>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</si>
  <si>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</si>
  <si>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</si>
  <si>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</si>
  <si>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</si>
  <si>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</si>
  <si>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</si>
  <si>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</si>
  <si>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</si>
  <si>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</si>
  <si>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</si>
  <si>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</si>
  <si>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</si>
  <si>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</si>
  <si>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</si>
  <si>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</si>
  <si>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</si>
  <si>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</si>
  <si>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</si>
  <si>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</si>
  <si>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</si>
  <si>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</si>
  <si>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</si>
  <si>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</si>
  <si>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</si>
  <si>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</si>
  <si>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</si>
  <si>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</si>
  <si>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</si>
  <si>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</si>
  <si>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</si>
  <si>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</si>
  <si>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</si>
  <si>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</si>
  <si>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</si>
  <si>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</si>
  <si>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</si>
  <si>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</si>
  <si>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</si>
  <si>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</si>
  <si>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</si>
  <si>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</si>
  <si>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</si>
  <si>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</si>
  <si>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</si>
  <si>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</si>
  <si>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</si>
  <si>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</si>
  <si>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</si>
  <si>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</si>
  <si>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</si>
  <si>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</si>
  <si>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</si>
  <si>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</si>
  <si>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</si>
  <si>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</si>
  <si>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</si>
  <si>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</si>
  <si>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</si>
  <si>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</si>
  <si>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</si>
  <si>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</si>
  <si>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</si>
  <si>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</si>
  <si>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</si>
  <si>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</si>
  <si>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</si>
  <si>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</si>
  <si>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</si>
  <si>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</si>
  <si>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</si>
  <si>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</si>
  <si>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</si>
  <si>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</si>
  <si>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</si>
  <si>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</si>
  <si>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</si>
  <si>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</si>
  <si>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</si>
  <si>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</si>
  <si>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</si>
  <si>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</si>
  <si>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</si>
  <si>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</si>
  <si>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</si>
  <si>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</si>
  <si>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</si>
  <si>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</si>
  <si>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</si>
  <si>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</si>
  <si>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</si>
  <si>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</si>
  <si>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</si>
  <si>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</si>
  <si>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</si>
  <si>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</si>
  <si>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</si>
  <si>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</si>
  <si>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</si>
  <si>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</si>
  <si>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</si>
  <si>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</si>
  <si>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</si>
  <si>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</si>
  <si>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</si>
  <si>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</si>
  <si>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</si>
  <si>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</si>
  <si>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</si>
  <si>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</si>
  <si>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</si>
  <si>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</si>
  <si>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</si>
  <si>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</si>
  <si>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</si>
  <si>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</si>
  <si>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</si>
  <si>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</si>
  <si>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</si>
  <si>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</si>
  <si>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</si>
  <si>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</si>
  <si>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</si>
  <si>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</si>
  <si>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</si>
  <si>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</si>
  <si>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</si>
  <si>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</si>
  <si>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</si>
  <si>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</si>
  <si>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</si>
  <si>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</si>
  <si>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</si>
  <si>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</si>
  <si>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</si>
  <si>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</si>
  <si>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</si>
  <si>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</si>
  <si>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</si>
  <si>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</si>
  <si>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</si>
  <si>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</si>
  <si>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</si>
  <si>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</si>
  <si>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</si>
  <si>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</si>
  <si>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</si>
  <si>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</si>
  <si>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</si>
  <si>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</si>
  <si>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</si>
  <si>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</si>
  <si>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</si>
  <si>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</si>
  <si>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</si>
  <si>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</si>
  <si>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</si>
  <si>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</si>
  <si>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</si>
  <si>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</si>
  <si>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</si>
  <si>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</si>
  <si>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</si>
  <si>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</si>
  <si>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</si>
  <si>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</si>
  <si>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</si>
  <si>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</si>
  <si>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</si>
  <si>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</si>
  <si>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</si>
  <si>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</si>
  <si>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</si>
  <si>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</si>
  <si>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</si>
  <si>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</si>
  <si>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</si>
  <si>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</si>
  <si>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</si>
  <si>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</si>
  <si>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</si>
  <si>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</si>
  <si>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</si>
  <si>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</si>
  <si>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</si>
  <si>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</si>
  <si>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</si>
  <si>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</si>
  <si>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</si>
  <si>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</si>
  <si>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</si>
  <si>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</si>
  <si>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</si>
  <si>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</si>
  <si>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</si>
  <si>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</si>
  <si>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</si>
  <si>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</si>
  <si>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</si>
  <si>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</si>
  <si>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</si>
  <si>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</si>
  <si>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</si>
  <si>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</si>
  <si>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</si>
  <si>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</si>
  <si>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</si>
  <si>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</si>
  <si>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</si>
  <si>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</si>
  <si>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</si>
  <si>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</si>
  <si>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</si>
  <si>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</si>
  <si>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</si>
  <si>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</si>
  <si>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</si>
  <si>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</si>
  <si>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</si>
  <si>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</si>
  <si>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</si>
  <si>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</si>
  <si>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</si>
  <si>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</si>
  <si>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</si>
  <si>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</si>
  <si>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</si>
  <si>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</si>
  <si>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</si>
  <si>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</si>
  <si>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</si>
  <si>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</si>
  <si>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</si>
  <si>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</si>
  <si>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</si>
  <si>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</si>
  <si>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</si>
  <si>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</si>
  <si>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</si>
  <si>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</si>
  <si>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</si>
  <si>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</si>
  <si>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</si>
  <si>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</si>
  <si>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</si>
  <si>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</si>
  <si>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</si>
  <si>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</si>
  <si>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</si>
  <si>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</si>
  <si>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</si>
  <si>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</si>
  <si>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</si>
  <si>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</si>
  <si>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</si>
  <si>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</si>
  <si>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</si>
  <si>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</si>
  <si>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</si>
  <si>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</si>
  <si>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</si>
  <si>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</si>
  <si>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</si>
  <si>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</si>
  <si>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</si>
  <si>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</si>
  <si>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</si>
  <si>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</si>
  <si>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</si>
  <si>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</si>
  <si>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</si>
  <si>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</si>
  <si>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</si>
  <si>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</si>
  <si>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</si>
  <si>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</si>
  <si>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</si>
  <si>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</si>
  <si>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</si>
  <si>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</si>
  <si>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</si>
  <si>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</si>
  <si>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</si>
  <si>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</si>
  <si>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</si>
  <si>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</si>
  <si>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</si>
  <si>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</si>
  <si>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</si>
  <si>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</si>
  <si>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</si>
  <si>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</si>
  <si>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</si>
  <si>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</si>
  <si>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</si>
  <si>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</si>
  <si>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</si>
  <si>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</si>
  <si>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</si>
  <si>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</si>
  <si>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</si>
  <si>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</si>
  <si>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</si>
  <si>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</si>
  <si>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</si>
  <si>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</si>
  <si>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</si>
  <si>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</si>
  <si>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</si>
  <si>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</si>
  <si>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</si>
  <si>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</si>
  <si>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</si>
  <si>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</si>
  <si>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</si>
  <si>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</si>
  <si>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</si>
  <si>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</si>
  <si>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</si>
  <si>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</si>
  <si>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</si>
  <si>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</si>
  <si>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</si>
  <si>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</si>
  <si>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</si>
  <si>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</si>
  <si>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</si>
  <si>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</si>
  <si>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</si>
  <si>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</si>
  <si>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</si>
  <si>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</si>
  <si>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</si>
  <si>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</si>
  <si>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</si>
  <si>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</si>
  <si>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</si>
  <si>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</si>
  <si>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</si>
  <si>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</si>
  <si>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</si>
  <si>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</si>
  <si>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</si>
  <si>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</si>
  <si>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</si>
  <si>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</si>
  <si>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</si>
  <si>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</si>
  <si>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</si>
  <si>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</si>
  <si>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</si>
  <si>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</si>
  <si>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</si>
  <si>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</si>
  <si>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</si>
  <si>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</si>
  <si>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</si>
  <si>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</si>
  <si>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</si>
  <si>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</si>
  <si>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</si>
  <si>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</si>
  <si>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</si>
  <si>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</si>
  <si>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</si>
  <si>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</si>
  <si>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</si>
  <si>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</si>
  <si>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</si>
  <si>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</si>
  <si>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</si>
  <si>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</si>
  <si>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</si>
  <si>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</si>
  <si>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</si>
  <si>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</si>
  <si>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</si>
  <si>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</si>
  <si>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</si>
  <si>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</si>
  <si>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</si>
  <si>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</si>
  <si>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</si>
  <si>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</si>
  <si>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</si>
  <si>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</si>
  <si>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</si>
  <si>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</si>
  <si>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</si>
  <si>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</si>
  <si>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</si>
  <si>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</si>
  <si>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</si>
  <si>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</si>
  <si>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</si>
  <si>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</si>
  <si>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</si>
  <si>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</si>
  <si>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</si>
  <si>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</si>
  <si>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</si>
  <si>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</si>
  <si>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</si>
  <si>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</si>
  <si>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</si>
  <si>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</si>
  <si>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</si>
  <si>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</si>
  <si>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</si>
  <si>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</si>
  <si>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</si>
  <si>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</si>
  <si>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</si>
  <si>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</si>
  <si>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</si>
  <si>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</si>
  <si>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</si>
  <si>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</si>
  <si>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</si>
  <si>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</si>
  <si>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</si>
  <si>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</si>
  <si>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</si>
  <si>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</si>
  <si>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</si>
  <si>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</si>
  <si>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</si>
  <si>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</si>
  <si>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</si>
  <si>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</si>
  <si>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</si>
  <si>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</si>
  <si>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</si>
  <si>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</si>
  <si>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</si>
  <si>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</si>
  <si>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</si>
  <si>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</si>
  <si>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</si>
  <si>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</si>
  <si>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</si>
  <si>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</si>
  <si>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</si>
  <si>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</si>
  <si>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</si>
  <si>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</si>
  <si>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</si>
  <si>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</si>
  <si>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</si>
  <si>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</si>
  <si>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</si>
  <si>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</si>
  <si>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</si>
  <si>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</si>
  <si>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</si>
  <si>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</si>
  <si>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</si>
  <si>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</si>
  <si>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</si>
  <si>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</si>
  <si>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</si>
  <si>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</si>
  <si>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</si>
  <si>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</si>
  <si>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</si>
  <si>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</si>
  <si>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</si>
  <si>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</si>
  <si>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</si>
  <si>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</si>
  <si>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</si>
  <si>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</si>
  <si>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</si>
  <si>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</si>
  <si>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</si>
  <si>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</si>
  <si>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</si>
  <si>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</si>
  <si>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</si>
  <si>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</si>
  <si>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</si>
  <si>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</si>
  <si>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</si>
  <si>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</si>
  <si>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</si>
  <si>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</si>
  <si>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</si>
  <si>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</si>
  <si>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</si>
  <si>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</si>
  <si>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</si>
  <si>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</si>
  <si>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</si>
  <si>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</si>
  <si>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</si>
  <si>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</si>
  <si>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</si>
  <si>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</si>
  <si>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</si>
  <si>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</si>
  <si>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</si>
  <si>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</si>
  <si>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</si>
  <si>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</si>
  <si>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</si>
  <si>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</si>
  <si>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</si>
  <si>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</si>
  <si>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</si>
  <si>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</si>
  <si>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</si>
  <si>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</si>
  <si>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</si>
  <si>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</si>
  <si>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</si>
  <si>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</si>
  <si>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</si>
  <si>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</si>
  <si>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</si>
  <si>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</si>
  <si>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</si>
  <si>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</si>
  <si>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</si>
  <si>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</si>
  <si>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</si>
  <si>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</si>
  <si>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</si>
  <si>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</si>
  <si>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</si>
  <si>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</si>
  <si>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</si>
  <si>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</si>
  <si>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</si>
  <si>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</si>
  <si>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</si>
  <si>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</si>
  <si>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</si>
  <si>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</si>
  <si>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</si>
  <si>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</si>
  <si>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</si>
  <si>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</si>
  <si>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</si>
  <si>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</si>
  <si>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</si>
  <si>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</si>
  <si>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</si>
  <si>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</si>
  <si>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</si>
  <si>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</si>
  <si>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</si>
  <si>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</si>
  <si>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</si>
  <si>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</si>
  <si>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</si>
  <si>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</si>
  <si>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</si>
  <si>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</si>
  <si>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</si>
  <si>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</si>
  <si>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</si>
  <si>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</si>
  <si>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</si>
  <si>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</si>
  <si>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</si>
  <si>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</si>
  <si>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</si>
  <si>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</si>
  <si>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</si>
  <si>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</si>
  <si>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</si>
  <si>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</si>
  <si>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</si>
  <si>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</si>
  <si>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</si>
  <si>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</si>
  <si>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</si>
  <si>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</si>
  <si>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</si>
  <si>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</si>
  <si>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</si>
  <si>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</si>
  <si>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</si>
  <si>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</si>
  <si>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</si>
  <si>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</si>
  <si>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</si>
  <si>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</si>
  <si>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</si>
  <si>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</si>
  <si>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</si>
  <si>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</si>
  <si>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</si>
  <si>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</si>
  <si>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</si>
  <si>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</si>
  <si>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</si>
  <si>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</si>
  <si>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</si>
  <si>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</si>
  <si>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</si>
  <si>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</si>
  <si>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</si>
  <si>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</si>
  <si>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</si>
  <si>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</si>
  <si>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</si>
  <si>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</si>
  <si>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</si>
  <si>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</si>
  <si>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</si>
  <si>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</si>
  <si>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</si>
  <si>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</si>
  <si>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</si>
  <si>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</si>
  <si>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</si>
  <si>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</si>
  <si>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</si>
  <si>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</si>
  <si>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</si>
  <si>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</si>
  <si>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</si>
  <si>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</si>
  <si>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</si>
  <si>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</si>
  <si>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</si>
  <si>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</si>
  <si>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</si>
  <si>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</si>
  <si>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</si>
  <si>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</si>
  <si>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</si>
  <si>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</si>
  <si>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</si>
  <si>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</si>
  <si>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</si>
  <si>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</si>
  <si>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</si>
  <si>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</si>
  <si>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</si>
  <si>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</si>
  <si>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</si>
  <si>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</si>
  <si>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</si>
  <si>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</si>
  <si>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</si>
  <si>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</si>
  <si>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</si>
  <si>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</si>
  <si>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</si>
  <si>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</si>
  <si>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</si>
  <si>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</si>
  <si>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</si>
  <si>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</si>
  <si>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</si>
  <si>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</si>
  <si>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</si>
  <si>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</si>
  <si>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</si>
  <si>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</si>
  <si>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</si>
  <si>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</si>
  <si>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</si>
  <si>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</si>
  <si>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</si>
  <si>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</si>
  <si>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</si>
  <si>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</si>
  <si>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</si>
  <si>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</si>
  <si>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</si>
  <si>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</si>
  <si>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</si>
  <si>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</si>
  <si>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</si>
  <si>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</si>
  <si>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</si>
  <si>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</si>
  <si>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</si>
  <si>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</si>
  <si>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</si>
  <si>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</si>
  <si>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</si>
  <si>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</si>
  <si>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</si>
  <si>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</si>
  <si>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</si>
  <si>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</si>
  <si>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</si>
  <si>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</si>
  <si>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</si>
  <si>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</si>
  <si>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</si>
  <si>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</si>
  <si>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</si>
  <si>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</si>
  <si>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</si>
  <si>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</si>
  <si>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</si>
  <si>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</si>
  <si>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</si>
  <si>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</si>
  <si>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</si>
  <si>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</si>
  <si>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</si>
  <si>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</si>
  <si>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</si>
  <si>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</si>
  <si>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</si>
  <si>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</si>
  <si>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</si>
  <si>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</si>
  <si>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</si>
  <si>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</si>
  <si>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</si>
  <si>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</si>
  <si>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</si>
  <si>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</si>
  <si>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</si>
  <si>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</si>
  <si>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</si>
  <si>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</si>
  <si>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</si>
  <si>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</si>
  <si>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</si>
  <si>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</si>
  <si>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</si>
  <si>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</si>
  <si>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</si>
  <si>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</si>
  <si>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</si>
  <si>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</si>
  <si>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</si>
  <si>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</si>
  <si>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</si>
  <si>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</si>
  <si>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</si>
  <si>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</si>
  <si>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</si>
  <si>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</si>
  <si>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</si>
  <si>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</si>
  <si>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</si>
  <si>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</si>
  <si>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</si>
  <si>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</si>
  <si>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</si>
  <si>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</si>
  <si>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</si>
  <si>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</si>
  <si>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</si>
  <si>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</si>
  <si>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</si>
  <si>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</si>
  <si>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</si>
  <si>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</si>
  <si>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</si>
  <si>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</si>
  <si>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</si>
  <si>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</si>
  <si>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</si>
  <si>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</si>
  <si>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</si>
  <si>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</si>
  <si>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</si>
  <si>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</si>
  <si>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</si>
  <si>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</si>
  <si>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</si>
  <si>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</si>
  <si>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</si>
  <si>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</si>
  <si>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</si>
  <si>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</si>
  <si>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</si>
  <si>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</si>
  <si>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</si>
  <si>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</si>
  <si>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</si>
  <si>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</si>
  <si>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</si>
  <si>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</si>
  <si>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</si>
  <si>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</si>
  <si>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</si>
  <si>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</si>
  <si>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</si>
  <si>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</si>
  <si>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</si>
  <si>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</si>
  <si>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</si>
  <si>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</si>
  <si>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</si>
  <si>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</si>
  <si>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</si>
  <si>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</si>
  <si>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</si>
  <si>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</si>
  <si>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</si>
  <si>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</si>
  <si>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</si>
  <si>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</si>
  <si>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</si>
  <si>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</si>
  <si>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</si>
  <si>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</si>
  <si>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</si>
  <si>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</si>
  <si>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</si>
  <si>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</si>
  <si>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</si>
  <si>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</si>
  <si>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</si>
  <si>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</si>
  <si>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</si>
  <si>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</si>
  <si>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</si>
  <si>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</si>
  <si>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</si>
  <si>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</si>
  <si>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</si>
  <si>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</si>
  <si>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</si>
  <si>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</si>
  <si>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</si>
  <si>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</si>
  <si>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</si>
  <si>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</si>
  <si>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</si>
  <si>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</si>
  <si>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</si>
  <si>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</si>
  <si>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</si>
  <si>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</si>
  <si>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</si>
  <si>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</si>
  <si>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</si>
  <si>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</si>
  <si>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</si>
  <si>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</si>
  <si>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</si>
  <si>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</si>
  <si>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</si>
  <si>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</si>
  <si>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</si>
  <si>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</si>
  <si>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</si>
  <si>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</si>
  <si>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</si>
  <si>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</si>
  <si>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</si>
  <si>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</si>
  <si>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</si>
  <si>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</si>
  <si>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</si>
  <si>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</si>
  <si>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</si>
  <si>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</si>
  <si>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</si>
  <si>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</si>
  <si>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</si>
  <si>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</si>
  <si>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</si>
  <si>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</si>
  <si>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</si>
  <si>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</si>
  <si>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</si>
  <si>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</si>
  <si>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</si>
  <si>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</si>
  <si>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</si>
  <si>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</si>
  <si>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</si>
  <si>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</si>
  <si>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</si>
  <si>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</si>
  <si>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</si>
  <si>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</si>
  <si>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</si>
  <si>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</si>
  <si>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</si>
  <si>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</si>
  <si>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</si>
  <si>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</si>
  <si>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</si>
  <si>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</si>
  <si>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</si>
  <si>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</si>
  <si>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</si>
  <si>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</si>
  <si>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</si>
  <si>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</si>
  <si>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</si>
  <si>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</si>
  <si>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</si>
  <si>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</si>
  <si>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</si>
  <si>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</si>
  <si>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</si>
  <si>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</si>
  <si>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</si>
  <si>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</si>
  <si>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</si>
  <si>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</si>
  <si>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</si>
  <si>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</si>
  <si>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</si>
  <si>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</si>
  <si>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</si>
  <si>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</si>
  <si>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</si>
  <si>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</si>
  <si>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</si>
  <si>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</si>
  <si>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</si>
  <si>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</si>
  <si>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</si>
  <si>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</si>
  <si>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</si>
  <si>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</si>
  <si>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</si>
  <si>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</si>
  <si>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</si>
  <si>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</si>
  <si>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</si>
  <si>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</si>
  <si>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</si>
  <si>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</si>
  <si>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</si>
  <si>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</si>
  <si>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</si>
  <si>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</si>
  <si>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</si>
  <si>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</si>
  <si>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</si>
  <si>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</si>
  <si>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</si>
  <si>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</si>
  <si>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</si>
  <si>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</si>
  <si>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</si>
  <si>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</si>
  <si>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</si>
  <si>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</si>
  <si>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</si>
  <si>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</si>
  <si>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</si>
  <si>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</si>
  <si>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</si>
  <si>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</si>
  <si>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</si>
  <si>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</si>
  <si>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</si>
  <si>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</si>
  <si>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</si>
  <si>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</si>
  <si>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</si>
  <si>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</si>
  <si>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</si>
  <si>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</si>
  <si>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</si>
  <si>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</si>
  <si>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</si>
  <si>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</si>
  <si>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</si>
  <si>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</si>
  <si>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</si>
  <si>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</si>
  <si>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</si>
  <si>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</si>
  <si>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</si>
  <si>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</si>
  <si>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</si>
  <si>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</si>
  <si>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</si>
  <si>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</si>
  <si>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</si>
  <si>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</si>
  <si>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</si>
  <si>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</si>
  <si>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</si>
  <si>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</si>
  <si>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</si>
  <si>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</si>
  <si>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</si>
  <si>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</si>
  <si>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</si>
  <si>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</si>
  <si>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</si>
  <si>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</si>
  <si>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</si>
  <si>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</si>
  <si>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</si>
  <si>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</si>
  <si>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</si>
  <si>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</si>
  <si>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</si>
  <si>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</si>
  <si>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</si>
  <si>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</si>
  <si>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</si>
  <si>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</si>
  <si>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</si>
  <si>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</si>
  <si>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</si>
  <si>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</si>
  <si>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</si>
  <si>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</si>
  <si>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</si>
  <si>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</si>
  <si>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</si>
  <si>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</si>
  <si>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</si>
  <si>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</si>
  <si>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</si>
  <si>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</si>
  <si>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</si>
  <si>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</si>
  <si>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</si>
  <si>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</si>
  <si>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</si>
  <si>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</si>
  <si>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</si>
  <si>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</si>
  <si>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</si>
  <si>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</si>
  <si>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</si>
  <si>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</si>
  <si>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</si>
  <si>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</si>
  <si>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</si>
  <si>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</si>
  <si>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</si>
  <si>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</si>
  <si>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</si>
  <si>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</si>
  <si>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</si>
  <si>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</si>
  <si>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</si>
  <si>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</si>
  <si>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</si>
  <si>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</si>
  <si>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</si>
  <si>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</si>
  <si>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</si>
  <si>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</si>
  <si>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</si>
  <si>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</si>
  <si>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</si>
  <si>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</si>
  <si>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</si>
  <si>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</si>
  <si>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</si>
  <si>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</si>
  <si>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</si>
  <si>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</si>
  <si>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</si>
  <si>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</si>
  <si>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</si>
  <si>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</si>
  <si>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</si>
  <si>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</si>
  <si>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</si>
  <si>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</si>
  <si>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</si>
  <si>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</si>
  <si>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</si>
  <si>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</si>
  <si>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</si>
  <si>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</si>
  <si>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</si>
  <si>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</si>
  <si>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</si>
  <si>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</si>
  <si>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</si>
  <si>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</si>
  <si>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</si>
  <si>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</si>
  <si>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</si>
  <si>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</si>
  <si>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</si>
  <si>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</si>
  <si>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</si>
  <si>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</si>
  <si>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</si>
  <si>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</si>
  <si>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</si>
  <si>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</si>
  <si>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</si>
  <si>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</si>
  <si>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</si>
  <si>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</si>
  <si>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</si>
  <si>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</si>
  <si>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</si>
  <si>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</si>
  <si>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</si>
  <si>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</si>
  <si>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</si>
  <si>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</si>
  <si>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</si>
  <si>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</si>
  <si>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</si>
  <si>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</si>
  <si>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</si>
  <si>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</si>
  <si>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</si>
  <si>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</si>
  <si>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</si>
  <si>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</si>
  <si>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</si>
  <si>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</si>
  <si>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</si>
  <si>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</si>
  <si>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</si>
  <si>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</si>
  <si>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</si>
  <si>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</si>
  <si>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</si>
  <si>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</si>
  <si>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</si>
  <si>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</si>
  <si>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</si>
  <si>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</si>
  <si>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</si>
  <si>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</si>
  <si>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</si>
  <si>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</si>
  <si>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</si>
  <si>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</si>
  <si>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</si>
  <si>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</si>
  <si>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</si>
  <si>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</si>
  <si>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</si>
  <si>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</si>
  <si>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</si>
  <si>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</si>
  <si>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</si>
  <si>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</si>
  <si>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</si>
  <si>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</si>
  <si>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</si>
  <si>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</si>
  <si>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</si>
  <si>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</si>
  <si>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</si>
  <si>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</si>
  <si>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</si>
  <si>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</si>
  <si>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</si>
  <si>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</si>
  <si>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</si>
  <si>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</si>
  <si>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</si>
  <si>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</si>
  <si>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</si>
  <si>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</si>
  <si>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</si>
  <si>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</si>
  <si>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</si>
  <si>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</si>
  <si>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</si>
  <si>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</si>
  <si>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</si>
  <si>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</si>
  <si>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</si>
  <si>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</si>
  <si>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</si>
  <si>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</si>
  <si>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</si>
  <si>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</si>
  <si>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</si>
  <si>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</si>
  <si>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</si>
  <si>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</si>
  <si>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</si>
  <si>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</si>
  <si>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</si>
  <si>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</si>
  <si>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</si>
  <si>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</si>
  <si>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</si>
  <si>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</si>
  <si>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</si>
  <si>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</si>
  <si>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</si>
  <si>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</si>
  <si>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</si>
  <si>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</si>
  <si>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</si>
  <si>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</si>
  <si>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</si>
  <si>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</si>
  <si>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</si>
  <si>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</si>
  <si>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</si>
  <si>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</si>
  <si>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</si>
  <si>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</si>
  <si>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</si>
  <si>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</si>
  <si>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</si>
  <si>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</si>
  <si>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</si>
  <si>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</si>
  <si>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</si>
  <si>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</si>
  <si>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</si>
  <si>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</si>
  <si>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</si>
  <si>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</si>
  <si>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</si>
  <si>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</si>
  <si>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</si>
  <si>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</si>
  <si>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</si>
  <si>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</si>
  <si>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</si>
  <si>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</si>
  <si>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</si>
  <si>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</si>
  <si>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</si>
  <si>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</si>
  <si>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</si>
  <si>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</si>
  <si>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</si>
  <si>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</si>
  <si>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</si>
  <si>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</si>
  <si>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</si>
  <si>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</si>
  <si>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</si>
  <si>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</si>
  <si>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</si>
  <si>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</si>
  <si>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</si>
  <si>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</si>
  <si>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</si>
  <si>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</si>
  <si>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</si>
  <si>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</si>
  <si>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</si>
  <si>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</si>
  <si>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</si>
  <si>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</si>
  <si>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</si>
  <si>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</si>
  <si>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</si>
  <si>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</si>
  <si>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</si>
  <si>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</si>
  <si>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</si>
  <si>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</si>
  <si>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</si>
  <si>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</si>
  <si>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</si>
  <si>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</si>
  <si>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</si>
  <si>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</si>
  <si>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</si>
  <si>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</si>
  <si>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</si>
  <si>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</si>
  <si>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</si>
  <si>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</si>
  <si>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</si>
  <si>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</si>
  <si>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</si>
  <si>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</si>
  <si>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</si>
  <si>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</si>
  <si>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</si>
  <si>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</si>
  <si>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</si>
  <si>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</si>
  <si>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</si>
  <si>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</si>
  <si>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</si>
  <si>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</si>
  <si>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</si>
  <si>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</si>
  <si>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</si>
  <si>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</si>
  <si>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</si>
  <si>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</si>
  <si>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</si>
  <si>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</si>
  <si>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</si>
  <si>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</si>
  <si>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</si>
  <si>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</si>
  <si>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</si>
  <si>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</si>
  <si>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</si>
  <si>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</si>
  <si>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</si>
  <si>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</si>
  <si>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</si>
  <si>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</si>
  <si>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</si>
  <si>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</si>
  <si>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</si>
  <si>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</si>
  <si>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</si>
  <si>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</si>
  <si>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</si>
  <si>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</si>
  <si>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</si>
  <si>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</si>
  <si>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</si>
  <si>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</si>
  <si>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</si>
  <si>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</si>
  <si>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</si>
  <si>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</si>
  <si>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</si>
  <si>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</si>
  <si>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</si>
  <si>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</si>
  <si>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</si>
  <si>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</si>
  <si>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</si>
  <si>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</si>
  <si>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</si>
  <si>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</si>
  <si>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</si>
  <si>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</si>
  <si>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</si>
  <si>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</si>
  <si>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</si>
  <si>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</si>
  <si>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</si>
  <si>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</si>
  <si>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</si>
  <si>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</si>
  <si>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</si>
  <si>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</si>
  <si>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</si>
  <si>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</si>
  <si>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</si>
  <si>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</si>
  <si>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</si>
  <si>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</si>
  <si>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</si>
  <si>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</si>
  <si>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</si>
  <si>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</si>
  <si>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</si>
  <si>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</si>
  <si>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</si>
  <si>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</si>
  <si>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</si>
  <si>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</si>
  <si>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</si>
  <si>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</si>
  <si>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</si>
  <si>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</si>
  <si>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</si>
  <si>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</si>
  <si>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</si>
  <si>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</si>
  <si>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</si>
  <si>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</si>
  <si>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</si>
  <si>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</si>
  <si>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</si>
  <si>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</si>
  <si>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</si>
  <si>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</si>
  <si>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</si>
  <si>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</si>
  <si>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</si>
  <si>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</si>
  <si>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</si>
  <si>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</si>
  <si>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</si>
  <si>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</si>
  <si>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</si>
  <si>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</si>
  <si>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</si>
  <si>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</si>
  <si>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</si>
  <si>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</si>
  <si>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</si>
  <si>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</si>
  <si>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</si>
  <si>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</si>
  <si>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</si>
  <si>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</si>
  <si>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</si>
  <si>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</si>
  <si>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</si>
  <si>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</si>
  <si>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</si>
  <si>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</si>
  <si>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</si>
  <si>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</si>
  <si>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</si>
  <si>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</si>
  <si>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</si>
  <si>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</si>
  <si>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</si>
  <si>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</si>
  <si>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</si>
  <si>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</si>
  <si>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</si>
  <si>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</si>
  <si>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</si>
  <si>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</si>
  <si>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</si>
  <si>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</si>
  <si>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</si>
  <si>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</si>
  <si>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</si>
  <si>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</si>
  <si>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</si>
  <si>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</si>
  <si>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</si>
  <si>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</si>
  <si>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</si>
  <si>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</si>
  <si>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</si>
  <si>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</si>
  <si>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</si>
  <si>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</si>
  <si>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</si>
  <si>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</si>
  <si>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</si>
  <si>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</si>
  <si>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</si>
  <si>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</si>
  <si>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</si>
  <si>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</si>
  <si>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</si>
  <si>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</si>
  <si>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</si>
  <si>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</si>
  <si>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</si>
  <si>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</si>
  <si>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</si>
  <si>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</si>
  <si>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</si>
  <si>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</si>
  <si>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</si>
  <si>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</si>
  <si>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</si>
  <si>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</si>
  <si>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</si>
  <si>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</si>
  <si>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</si>
  <si>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</si>
  <si>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</si>
  <si>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</si>
  <si>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</si>
  <si>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</si>
  <si>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</si>
  <si>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</si>
  <si>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</si>
  <si>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</si>
  <si>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</si>
  <si>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</si>
  <si>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</si>
  <si>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</si>
  <si>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</si>
  <si>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</si>
  <si>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</si>
  <si>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</si>
  <si>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</si>
  <si>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</si>
  <si>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</si>
  <si>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</si>
  <si>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</si>
  <si>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</si>
  <si>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</si>
  <si>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</si>
  <si>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</si>
  <si>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</si>
  <si>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</si>
  <si>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</si>
  <si>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</si>
  <si>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</si>
  <si>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</si>
  <si>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</si>
  <si>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</si>
  <si>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</si>
  <si>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</si>
  <si>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</si>
  <si>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</si>
  <si>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</si>
  <si>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</si>
  <si>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</si>
  <si>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</si>
  <si>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</si>
  <si>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</si>
  <si>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</si>
  <si>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</si>
  <si>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</si>
  <si>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</si>
  <si>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</si>
  <si>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</si>
  <si>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</si>
  <si>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</si>
  <si>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</si>
  <si>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</si>
  <si>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</si>
  <si>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</si>
  <si>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</si>
  <si>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</si>
  <si>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</si>
  <si>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</si>
  <si>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</si>
  <si>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</si>
  <si>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</si>
  <si>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</si>
  <si>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</si>
  <si>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</si>
  <si>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</si>
  <si>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</si>
  <si>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</si>
  <si>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</si>
  <si>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</si>
  <si>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</si>
  <si>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</si>
  <si>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</si>
  <si>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</si>
  <si>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</si>
  <si>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</si>
  <si>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</si>
  <si>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</si>
  <si>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</si>
  <si>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</si>
  <si>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</si>
  <si>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</si>
  <si>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</si>
  <si>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</si>
  <si>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</si>
  <si>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</si>
  <si>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</si>
  <si>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</si>
  <si>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</si>
  <si>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</si>
  <si>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</si>
  <si>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</si>
  <si>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</si>
  <si>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</si>
  <si>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</si>
  <si>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</si>
  <si>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</si>
  <si>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</si>
  <si>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</si>
  <si>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</si>
  <si>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</si>
  <si>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</si>
  <si>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</si>
  <si>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</si>
  <si>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</si>
  <si>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</si>
  <si>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</si>
  <si>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</si>
  <si>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</si>
  <si>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</si>
  <si>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</si>
  <si>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</si>
  <si>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</si>
  <si>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</si>
  <si>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</si>
  <si>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</si>
  <si>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</si>
  <si>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</si>
  <si>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</si>
  <si>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</si>
  <si>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</si>
  <si>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</si>
  <si>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</si>
  <si>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</si>
  <si>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</si>
  <si>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</si>
  <si>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</si>
  <si>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</si>
  <si>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</si>
  <si>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</si>
  <si>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</si>
  <si>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</si>
  <si>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</si>
  <si>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</si>
  <si>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</si>
  <si>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</si>
  <si>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</si>
  <si>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</si>
  <si>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</si>
  <si>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</si>
  <si>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</si>
  <si>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</si>
  <si>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</si>
  <si>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</si>
  <si>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</si>
  <si>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</si>
  <si>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</si>
  <si>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</si>
  <si>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</si>
  <si>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</si>
  <si>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</si>
  <si>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</si>
  <si>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</si>
  <si>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</si>
  <si>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</si>
  <si>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</si>
  <si>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</si>
  <si>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</si>
  <si>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</si>
  <si>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</si>
  <si>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</si>
  <si>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</si>
  <si>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</si>
  <si>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</si>
  <si>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</si>
  <si>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</si>
  <si>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</si>
  <si>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</si>
  <si>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</si>
  <si>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</si>
  <si>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</si>
  <si>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</si>
  <si>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</si>
  <si>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</si>
  <si>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</si>
  <si>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</si>
  <si>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</si>
  <si>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</si>
  <si>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</si>
  <si>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</si>
  <si>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</si>
  <si>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</si>
  <si>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</si>
  <si>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</si>
  <si>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</si>
  <si>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</si>
  <si>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</si>
  <si>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</si>
  <si>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</si>
  <si>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</si>
  <si>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</si>
  <si>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</si>
  <si>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</si>
  <si>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</si>
  <si>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</si>
  <si>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</si>
  <si>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</si>
  <si>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</si>
  <si>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</si>
  <si>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</si>
  <si>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</si>
  <si>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</si>
  <si>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</si>
  <si>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</si>
  <si>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</si>
  <si>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</si>
  <si>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</si>
  <si>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</si>
  <si>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</si>
  <si>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</si>
  <si>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</si>
  <si>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</si>
  <si>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</si>
  <si>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</si>
  <si>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</si>
  <si>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</si>
  <si>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</si>
  <si>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</si>
  <si>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</si>
  <si>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</si>
  <si>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</si>
  <si>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</si>
  <si>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</si>
  <si>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</si>
  <si>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</si>
  <si>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</si>
  <si>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</si>
  <si>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</si>
  <si>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</si>
  <si>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</si>
  <si>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</si>
  <si>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</si>
  <si>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</si>
  <si>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</si>
  <si>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</si>
  <si>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</si>
  <si>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</si>
  <si>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</si>
  <si>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</si>
  <si>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</si>
  <si>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</si>
  <si>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</si>
  <si>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</si>
  <si>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</si>
  <si>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</si>
  <si>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</si>
  <si>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</si>
  <si>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</si>
  <si>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</si>
  <si>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</si>
  <si>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</si>
  <si>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</si>
  <si>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</si>
  <si>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</si>
  <si>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</si>
  <si>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</si>
  <si>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</si>
  <si>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</si>
  <si>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</si>
  <si>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</si>
  <si>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</si>
  <si>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</si>
  <si>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</si>
  <si>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</si>
  <si>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</si>
  <si>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</si>
  <si>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</si>
  <si>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</si>
  <si>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</si>
  <si>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</si>
  <si>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</si>
  <si>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</si>
  <si>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</si>
  <si>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</si>
  <si>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</si>
  <si>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</si>
  <si>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</si>
  <si>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</si>
  <si>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</si>
  <si>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</si>
  <si>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</si>
  <si>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</si>
  <si>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</si>
  <si>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</si>
  <si>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</si>
  <si>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</si>
  <si>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</si>
  <si>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</si>
  <si>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</si>
  <si>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</si>
  <si>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</si>
  <si>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</si>
  <si>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</si>
  <si>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</si>
  <si>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</si>
  <si>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</si>
  <si>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</si>
  <si>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</si>
  <si>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</si>
  <si>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</si>
  <si>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</si>
  <si>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</si>
  <si>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</si>
  <si>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</si>
  <si>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</si>
  <si>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</si>
  <si>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</si>
  <si>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</si>
  <si>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</si>
  <si>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</si>
  <si>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</si>
  <si>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</si>
  <si>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</si>
  <si>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</si>
  <si>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</si>
  <si>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</si>
  <si>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</si>
  <si>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</si>
  <si>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</si>
  <si>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</si>
  <si>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</si>
  <si>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</si>
  <si>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</si>
  <si>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</si>
  <si>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</si>
  <si>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</si>
  <si>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</si>
  <si>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</si>
  <si>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</si>
  <si>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</si>
  <si>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</si>
  <si>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</si>
  <si>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</si>
  <si>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</si>
  <si>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</si>
  <si>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</si>
  <si>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</si>
  <si>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</si>
  <si>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</si>
  <si>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</si>
  <si>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</si>
  <si>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</si>
  <si>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</si>
  <si>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</si>
  <si>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</si>
  <si>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</si>
  <si>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</si>
  <si>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</si>
  <si>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</si>
  <si>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</si>
  <si>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</si>
  <si>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</si>
  <si>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</si>
  <si>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</si>
  <si>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</si>
  <si>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</si>
  <si>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</si>
  <si>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</si>
  <si>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</si>
  <si>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</si>
  <si>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</si>
  <si>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</si>
  <si>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</si>
  <si>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</si>
  <si>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</si>
  <si>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</si>
  <si>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</si>
  <si>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</si>
  <si>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</si>
  <si>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</si>
  <si>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</si>
  <si>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</si>
  <si>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</si>
  <si>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</si>
  <si>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</si>
  <si>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</si>
  <si>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</si>
  <si>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</si>
  <si>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</si>
  <si>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</si>
  <si>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</si>
  <si>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</si>
  <si>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</si>
  <si>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</si>
  <si>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</si>
  <si>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</si>
  <si>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</si>
  <si>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</si>
  <si>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</si>
  <si>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</si>
  <si>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</si>
  <si>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</si>
  <si>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</si>
  <si>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</si>
  <si>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</si>
  <si>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</si>
  <si>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</si>
  <si>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</si>
  <si>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</si>
  <si>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</si>
  <si>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</si>
  <si>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</si>
  <si>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</si>
  <si>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</si>
  <si>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</si>
  <si>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</si>
  <si>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</si>
  <si>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</si>
  <si>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</si>
  <si>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</si>
  <si>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</si>
  <si>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</si>
  <si>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</si>
  <si>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</si>
  <si>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</si>
  <si>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</si>
  <si>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</si>
  <si>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</si>
  <si>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</si>
  <si>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</si>
  <si>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</si>
  <si>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</si>
  <si>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</si>
  <si>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</si>
  <si>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</si>
  <si>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</si>
  <si>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</si>
  <si>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</si>
  <si>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</si>
  <si>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</si>
  <si>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</si>
  <si>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</si>
  <si>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</si>
  <si>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</si>
  <si>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</si>
  <si>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</si>
  <si>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</si>
  <si>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</si>
  <si>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</si>
  <si>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</si>
  <si>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</si>
  <si>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</si>
  <si>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</si>
  <si>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</si>
  <si>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</si>
  <si>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</si>
  <si>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</si>
  <si>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</si>
  <si>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</si>
  <si>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</si>
  <si>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</si>
  <si>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</si>
  <si>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</si>
  <si>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</si>
  <si>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</si>
  <si>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</si>
  <si>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</si>
  <si>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</si>
  <si>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</si>
  <si>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</si>
  <si>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</si>
  <si>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</si>
  <si>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</si>
  <si>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</si>
  <si>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</si>
  <si>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</si>
  <si>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</si>
  <si>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</si>
  <si>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</si>
  <si>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</si>
  <si>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</si>
  <si>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</si>
  <si>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</si>
  <si>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</si>
  <si>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</si>
  <si>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</si>
  <si>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</si>
  <si>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</si>
  <si>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</si>
  <si>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</si>
  <si>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</si>
  <si>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</si>
  <si>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</si>
  <si>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</si>
  <si>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</si>
  <si>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</si>
  <si>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</si>
  <si>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</si>
  <si>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</si>
  <si>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</si>
  <si>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</si>
  <si>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</si>
  <si>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</si>
  <si>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</si>
  <si>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</si>
  <si>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</si>
  <si>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</si>
  <si>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</si>
  <si>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</si>
  <si>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</si>
  <si>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</si>
  <si>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</si>
  <si>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</si>
  <si>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</si>
  <si>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</si>
  <si>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</si>
  <si>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</si>
  <si>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</si>
  <si>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</si>
  <si>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</si>
  <si>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</si>
  <si>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</si>
  <si>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</si>
  <si>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</si>
  <si>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</si>
  <si>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</si>
  <si>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</si>
  <si>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</si>
  <si>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</si>
  <si>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</si>
  <si>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</si>
  <si>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</si>
  <si>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</si>
  <si>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</si>
  <si>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</si>
  <si>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</si>
  <si>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</si>
  <si>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</si>
  <si>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</si>
  <si>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</si>
  <si>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</si>
  <si>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</si>
  <si>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</si>
  <si>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</si>
  <si>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</si>
  <si>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</si>
  <si>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</si>
  <si>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</si>
  <si>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</si>
  <si>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</si>
  <si>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</si>
  <si>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</si>
  <si>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</si>
  <si>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</si>
  <si>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</si>
  <si>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</si>
  <si>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</si>
  <si>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</si>
  <si>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</si>
  <si>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</si>
  <si>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</si>
  <si>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</si>
  <si>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</si>
  <si>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</si>
  <si>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</si>
  <si>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</si>
  <si>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</si>
  <si>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</si>
  <si>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</si>
  <si>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</si>
  <si>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</si>
  <si>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</si>
  <si>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</si>
  <si>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</si>
  <si>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</si>
  <si>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</si>
  <si>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</si>
  <si>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</si>
  <si>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</si>
  <si>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</si>
  <si>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</si>
  <si>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</si>
  <si>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</si>
  <si>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</si>
  <si>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</si>
  <si>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</si>
  <si>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</si>
  <si>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</si>
  <si>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</si>
  <si>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</si>
  <si>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</si>
  <si>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</si>
  <si>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</si>
  <si>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</si>
  <si>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</si>
  <si>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</si>
  <si>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</si>
  <si>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</si>
  <si>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</si>
  <si>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</si>
  <si>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</si>
  <si>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</si>
  <si>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</si>
  <si>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</si>
  <si>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</si>
  <si>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</si>
  <si>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</si>
  <si>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</si>
  <si>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</si>
  <si>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</si>
  <si>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</si>
  <si>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</si>
  <si>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</si>
  <si>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</si>
  <si>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</si>
  <si>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</si>
  <si>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</si>
  <si>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</si>
  <si>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</si>
  <si>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</si>
  <si>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</si>
  <si>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</si>
  <si>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</si>
  <si>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</si>
  <si>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</si>
  <si>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</si>
  <si>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</si>
  <si>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</si>
  <si>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</si>
  <si>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</si>
  <si>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</si>
  <si>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</si>
  <si>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</si>
  <si>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</si>
  <si>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</si>
  <si>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</si>
  <si>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</si>
  <si>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</si>
  <si>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</si>
  <si>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</si>
  <si>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</si>
  <si>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</si>
  <si>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</si>
  <si>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</si>
  <si>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</si>
  <si>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</si>
  <si>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</si>
  <si>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</si>
  <si>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</si>
  <si>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</si>
  <si>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</si>
  <si>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</si>
  <si>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</si>
  <si>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</si>
  <si>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</si>
  <si>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</si>
  <si>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</si>
  <si>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</si>
  <si>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</si>
  <si>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</si>
  <si>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</si>
  <si>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</si>
  <si>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</si>
  <si>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</si>
  <si>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</si>
  <si>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</si>
  <si>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</si>
  <si>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</si>
  <si>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</si>
  <si>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</si>
  <si>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</si>
  <si>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</si>
  <si>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</si>
  <si>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</si>
  <si>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</si>
  <si>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</si>
  <si>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</si>
  <si>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</si>
  <si>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</si>
  <si>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</si>
  <si>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</si>
  <si>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</si>
  <si>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</si>
  <si>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</si>
  <si>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</si>
  <si>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</si>
  <si>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</si>
  <si>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</si>
  <si>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</si>
  <si>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</si>
  <si>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</si>
  <si>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</si>
  <si>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</si>
  <si>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</si>
  <si>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</si>
  <si>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</si>
  <si>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</si>
  <si>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</si>
  <si>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</si>
  <si>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</si>
  <si>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</si>
  <si>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</si>
  <si>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</si>
  <si>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</si>
  <si>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</si>
  <si>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</si>
  <si>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</si>
  <si>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</si>
  <si>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</si>
  <si>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</si>
  <si>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</si>
  <si>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</si>
  <si>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</si>
  <si>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</si>
  <si>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</si>
  <si>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</si>
  <si>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</si>
  <si>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</si>
  <si>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</si>
  <si>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</si>
  <si>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</si>
  <si>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</si>
  <si>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</si>
  <si>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</si>
  <si>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</si>
  <si>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</si>
  <si>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</si>
  <si>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</si>
  <si>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</si>
  <si>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</si>
  <si>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</si>
  <si>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</si>
  <si>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</si>
  <si>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</si>
  <si>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</si>
  <si>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</si>
  <si>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</si>
  <si>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</si>
  <si>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</si>
  <si>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</si>
  <si>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</si>
  <si>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</si>
  <si>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</si>
  <si>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</si>
  <si>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</si>
  <si>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</si>
  <si>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</si>
  <si>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</si>
  <si>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</si>
  <si>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</si>
  <si>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</si>
  <si>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</si>
  <si>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</si>
  <si>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</si>
  <si>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</si>
  <si>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</si>
  <si>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</si>
  <si>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</si>
  <si>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</si>
  <si>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</si>
  <si>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</si>
  <si>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</si>
  <si>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</si>
  <si>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</si>
  <si>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</si>
  <si>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</si>
  <si>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</si>
  <si>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</si>
  <si>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</si>
  <si>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</si>
  <si>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</si>
  <si>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</si>
  <si>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</si>
  <si>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</si>
  <si>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</si>
  <si>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</si>
  <si>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</si>
  <si>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</si>
  <si>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</si>
  <si>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</si>
  <si>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</si>
  <si>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</si>
  <si>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</si>
  <si>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</si>
  <si>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</si>
  <si>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</si>
  <si>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</si>
  <si>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</si>
  <si>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</si>
  <si>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</si>
  <si>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</si>
  <si>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</si>
  <si>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</si>
  <si>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</si>
  <si>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</si>
  <si>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</si>
  <si>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</si>
  <si>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</si>
  <si>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</si>
  <si>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</si>
  <si>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</si>
  <si>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</si>
  <si>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</si>
  <si>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</si>
  <si>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</si>
  <si>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</si>
  <si>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</si>
  <si>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</si>
  <si>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</si>
  <si>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</si>
  <si>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</si>
  <si>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</si>
  <si>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</si>
  <si>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</si>
  <si>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</si>
  <si>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</si>
  <si>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</si>
  <si>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</si>
  <si>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</si>
  <si>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</si>
  <si>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</si>
  <si>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</si>
  <si>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</si>
  <si>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</si>
  <si>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</si>
  <si>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</si>
  <si>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</si>
  <si>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</si>
  <si>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</si>
  <si>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</si>
  <si>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</si>
  <si>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</si>
  <si>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</si>
  <si>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</si>
  <si>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</si>
  <si>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</si>
  <si>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</si>
  <si>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</si>
  <si>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</si>
  <si>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</si>
  <si>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</si>
  <si>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</si>
  <si>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</si>
  <si>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</si>
  <si>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</si>
  <si>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</si>
  <si>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</si>
  <si>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</si>
  <si>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</si>
  <si>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</si>
  <si>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</si>
  <si>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</si>
  <si>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</si>
  <si>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</si>
  <si>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</si>
  <si>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</si>
  <si>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</si>
  <si>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</si>
  <si>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</si>
  <si>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</si>
  <si>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</si>
  <si>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</si>
  <si>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</si>
  <si>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</si>
  <si>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</si>
  <si>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</si>
  <si>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</si>
  <si>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</si>
  <si>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</si>
  <si>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</si>
  <si>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</si>
  <si>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</si>
  <si>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</si>
  <si>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</si>
  <si>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</si>
  <si>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</si>
  <si>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</si>
  <si>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</si>
  <si>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</si>
  <si>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</si>
  <si>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</si>
  <si>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</si>
  <si>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</si>
  <si>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</si>
  <si>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</si>
  <si>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</si>
  <si>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</si>
  <si>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</si>
  <si>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</si>
  <si>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</si>
  <si>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</si>
  <si>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</si>
  <si>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</si>
  <si>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</si>
  <si>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</si>
  <si>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</si>
  <si>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</si>
  <si>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</si>
  <si>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</si>
  <si>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</si>
  <si>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</si>
  <si>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</si>
  <si>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</si>
  <si>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</si>
  <si>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</si>
  <si>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</si>
  <si>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</si>
  <si>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</si>
  <si>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</si>
  <si>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</si>
  <si>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</si>
  <si>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</si>
  <si>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</si>
  <si>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</si>
  <si>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</si>
  <si>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</si>
  <si>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</si>
  <si>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</si>
  <si>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</si>
  <si>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</si>
  <si>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</si>
  <si>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</si>
  <si>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</si>
  <si>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</si>
  <si>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</si>
  <si>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</si>
  <si>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</si>
  <si>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</si>
  <si>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</si>
  <si>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</si>
  <si>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</si>
  <si>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</si>
  <si>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</si>
  <si>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</si>
  <si>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</si>
  <si>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</si>
  <si>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</si>
  <si>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</si>
  <si>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</si>
  <si>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</si>
  <si>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</si>
  <si>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</si>
  <si>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</si>
  <si>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</si>
  <si>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</si>
  <si>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</si>
  <si>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</si>
  <si>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</si>
  <si>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</si>
  <si>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</si>
  <si>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</si>
  <si>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</si>
  <si>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</si>
  <si>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</si>
  <si>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</si>
  <si>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</si>
  <si>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</si>
  <si>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</si>
  <si>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</si>
  <si>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</si>
  <si>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</si>
  <si>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</si>
  <si>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</si>
  <si>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</si>
  <si>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</si>
  <si>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</si>
  <si>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</si>
  <si>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</si>
  <si>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</si>
  <si>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</si>
  <si>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</si>
  <si>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</si>
  <si>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</si>
  <si>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</si>
  <si>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</si>
  <si>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</si>
  <si>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</si>
  <si>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</si>
  <si>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</si>
  <si>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</si>
  <si>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</si>
  <si>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</si>
  <si>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</si>
  <si>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</si>
  <si>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</si>
  <si>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</si>
  <si>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</si>
  <si>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</si>
  <si>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</si>
  <si>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</si>
  <si>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</si>
  <si>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</si>
  <si>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</si>
  <si>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</si>
  <si>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</si>
  <si>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</si>
  <si>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</si>
  <si>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</si>
  <si>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</si>
  <si>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</si>
  <si>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</si>
  <si>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</si>
  <si>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</si>
  <si>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</si>
  <si>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</si>
  <si>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</si>
  <si>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</si>
  <si>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</si>
  <si>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</si>
  <si>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</si>
  <si>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</si>
  <si>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</si>
  <si>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</si>
  <si>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</si>
  <si>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</si>
  <si>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</si>
  <si>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</si>
  <si>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</si>
  <si>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</si>
  <si>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</si>
  <si>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</si>
  <si>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</si>
  <si>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</si>
  <si>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</si>
  <si>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</si>
  <si>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</si>
  <si>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</si>
  <si>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</si>
  <si>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</si>
  <si>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</si>
  <si>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</si>
  <si>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</si>
  <si>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</si>
  <si>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</si>
  <si>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</si>
  <si>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</si>
  <si>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</si>
  <si>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</si>
  <si>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</si>
  <si>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</si>
  <si>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</si>
  <si>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</si>
  <si>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</si>
  <si>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</si>
  <si>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</si>
  <si>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</si>
  <si>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</si>
  <si>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</si>
  <si>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</si>
  <si>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</si>
  <si>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</si>
  <si>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</si>
  <si>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</si>
  <si>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</si>
  <si>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</si>
  <si>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</si>
  <si>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</si>
  <si>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</si>
  <si>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</si>
  <si>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</si>
  <si>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</si>
  <si>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</si>
  <si>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</si>
  <si>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</si>
  <si>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</si>
  <si>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</si>
  <si>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</si>
  <si>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</si>
  <si>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</si>
  <si>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</si>
  <si>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</si>
  <si>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</si>
  <si>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</si>
  <si>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</si>
  <si>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</si>
  <si>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</si>
  <si>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</si>
  <si>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</si>
  <si>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</si>
  <si>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</si>
  <si>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</si>
  <si>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</si>
  <si>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</si>
  <si>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</si>
  <si>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</si>
  <si>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</si>
  <si>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</si>
  <si>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</si>
  <si>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</si>
  <si>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</si>
  <si>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</si>
  <si>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</si>
  <si>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</si>
  <si>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</si>
  <si>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</si>
  <si>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</si>
  <si>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</si>
  <si>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</si>
  <si>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</si>
  <si>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</si>
  <si>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</si>
  <si>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</si>
  <si>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</si>
  <si>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</si>
  <si>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</si>
  <si>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</si>
  <si>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</si>
  <si>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</si>
  <si>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</si>
  <si>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</si>
  <si>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</si>
  <si>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</si>
  <si>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</si>
  <si>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</si>
  <si>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</si>
  <si>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</si>
  <si>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</si>
  <si>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</si>
  <si>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</si>
  <si>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</si>
  <si>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</si>
  <si>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</si>
  <si>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</si>
  <si>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</si>
  <si>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</si>
  <si>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</si>
  <si>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</si>
  <si>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</si>
  <si>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</si>
  <si>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</si>
  <si>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</si>
  <si>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</si>
  <si>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</si>
  <si>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</si>
  <si>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</si>
  <si>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</si>
  <si>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</si>
  <si>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</si>
  <si>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</si>
  <si>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</si>
  <si>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</si>
  <si>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</si>
  <si>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</si>
  <si>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</si>
  <si>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</si>
  <si>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</si>
  <si>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</si>
  <si>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</si>
  <si>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</si>
  <si>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</si>
  <si>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</si>
  <si>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</si>
  <si>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</si>
  <si>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</si>
  <si>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</si>
  <si>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</si>
  <si>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</si>
  <si>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</si>
  <si>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</si>
  <si>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</si>
  <si>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</si>
  <si>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</si>
  <si>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</si>
  <si>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</si>
  <si>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</si>
  <si>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</si>
  <si>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</si>
  <si>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</si>
  <si>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</si>
  <si>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</si>
  <si>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</si>
  <si>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</si>
  <si>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</si>
  <si>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</si>
  <si>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</si>
  <si>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</si>
  <si>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</si>
  <si>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</si>
  <si>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</si>
  <si>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</si>
  <si>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</si>
  <si>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</si>
  <si>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</si>
  <si>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</si>
  <si>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</si>
  <si>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</si>
  <si>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</si>
  <si>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</si>
  <si>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</si>
  <si>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</si>
  <si>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</si>
  <si>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</si>
  <si>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</si>
  <si>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</si>
  <si>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</si>
  <si>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</si>
  <si>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</si>
  <si>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</si>
  <si>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</si>
  <si>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</si>
  <si>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</si>
  <si>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</si>
  <si>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</si>
  <si>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</si>
  <si>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</si>
  <si>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</si>
  <si>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</si>
  <si>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</si>
  <si>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</si>
  <si>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</si>
  <si>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</si>
  <si>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</si>
  <si>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</si>
  <si>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</si>
  <si>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</si>
  <si>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</si>
  <si>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</si>
  <si>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</si>
  <si>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</si>
  <si>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</si>
  <si>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</si>
  <si>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</si>
  <si>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</si>
  <si>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</si>
  <si>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</si>
  <si>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</si>
  <si>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</si>
  <si>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</si>
  <si>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</si>
  <si>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</si>
  <si>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</si>
  <si>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</si>
  <si>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</si>
  <si>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</si>
  <si>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</si>
  <si>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</si>
  <si>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</si>
  <si>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</si>
  <si>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</si>
  <si>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</si>
  <si>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</si>
  <si>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</si>
  <si>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</si>
  <si>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</si>
  <si>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</si>
  <si>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</si>
  <si>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</si>
  <si>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</si>
  <si>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</si>
  <si>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</si>
  <si>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</si>
  <si>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</si>
  <si>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</si>
  <si>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</si>
  <si>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</si>
  <si>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</si>
  <si>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</si>
  <si>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</si>
  <si>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</si>
  <si>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</si>
  <si>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</si>
  <si>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</si>
  <si>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</si>
  <si>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</si>
  <si>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</si>
  <si>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</si>
  <si>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</si>
  <si>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</si>
  <si>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</si>
  <si>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</si>
  <si>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</si>
  <si>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</si>
  <si>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</si>
  <si>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</si>
  <si>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</si>
  <si>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</si>
  <si>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</si>
  <si>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</si>
  <si>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</si>
  <si>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</si>
  <si>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</si>
  <si>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</si>
  <si>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</si>
  <si>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</si>
  <si>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</si>
  <si>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</si>
  <si>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</si>
  <si>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</si>
  <si>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</si>
  <si>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</si>
  <si>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</si>
  <si>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</si>
  <si>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</si>
  <si>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</si>
  <si>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</si>
  <si>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</si>
  <si>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</si>
  <si>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</si>
  <si>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</si>
  <si>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</si>
  <si>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</si>
  <si>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</si>
  <si>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</si>
  <si>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</si>
  <si>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</si>
  <si>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</si>
  <si>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</si>
  <si>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</si>
  <si>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</si>
  <si>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</si>
  <si>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</si>
  <si>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</si>
  <si>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</si>
  <si>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</si>
  <si>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</si>
  <si>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</si>
  <si>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</si>
  <si>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</si>
  <si>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</si>
  <si>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</si>
  <si>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</si>
  <si>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</si>
  <si>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</si>
  <si>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</si>
  <si>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</si>
  <si>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</si>
  <si>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</si>
  <si>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</si>
  <si>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</si>
  <si>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</si>
  <si>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</si>
  <si>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</si>
  <si>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</si>
  <si>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</si>
  <si>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</si>
  <si>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</si>
  <si>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</si>
  <si>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</si>
  <si>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</si>
  <si>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</si>
  <si>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</si>
  <si>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</si>
  <si>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</si>
  <si>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</si>
  <si>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</si>
  <si>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</si>
  <si>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</si>
  <si>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</si>
  <si>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</si>
  <si>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</si>
  <si>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</si>
  <si>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</si>
  <si>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</si>
  <si>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</si>
  <si>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</si>
  <si>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</si>
  <si>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</si>
  <si>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</si>
  <si>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</si>
  <si>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</si>
  <si>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</si>
  <si>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</si>
  <si>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</si>
  <si>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</si>
  <si>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</si>
  <si>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</si>
  <si>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</si>
  <si>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</si>
  <si>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</si>
  <si>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</si>
  <si>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</si>
  <si>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</si>
  <si>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</si>
  <si>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</si>
  <si>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</si>
  <si>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</si>
  <si>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</si>
  <si>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</si>
  <si>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</si>
  <si>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</si>
  <si>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</si>
  <si>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</si>
  <si>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</si>
  <si>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</si>
  <si>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</si>
  <si>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</si>
  <si>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</si>
  <si>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</si>
  <si>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</si>
  <si>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</si>
  <si>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</si>
  <si>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</si>
  <si>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</si>
  <si>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</si>
  <si>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</si>
  <si>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</si>
  <si>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</si>
  <si>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</si>
  <si>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</si>
  <si>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</si>
  <si>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</si>
  <si>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</si>
  <si>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</si>
  <si>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</si>
  <si>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</si>
  <si>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</si>
  <si>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</si>
  <si>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</si>
  <si>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</si>
  <si>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</si>
  <si>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</si>
  <si>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</si>
  <si>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</si>
  <si>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</si>
  <si>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</si>
  <si>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</si>
  <si>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</si>
  <si>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</si>
  <si>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</si>
  <si>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</si>
  <si>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</si>
  <si>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</si>
  <si>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</si>
  <si>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</si>
  <si>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</si>
  <si>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</si>
  <si>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</si>
  <si>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</si>
  <si>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</si>
  <si>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</si>
  <si>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</si>
  <si>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</si>
  <si>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</si>
  <si>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</si>
  <si>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</si>
  <si>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</si>
  <si>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</si>
  <si>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</si>
  <si>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</si>
  <si>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</si>
  <si>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</si>
  <si>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</si>
  <si>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</si>
  <si>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</si>
  <si>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</si>
  <si>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</si>
  <si>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</si>
  <si>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</si>
  <si>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</si>
  <si>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</si>
  <si>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</si>
  <si>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</si>
  <si>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</si>
  <si>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</si>
  <si>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</si>
  <si>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</si>
  <si>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</si>
  <si>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</si>
  <si>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</si>
  <si>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</si>
  <si>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</si>
  <si>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</si>
  <si>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</si>
  <si>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</si>
  <si>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</si>
  <si>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</si>
  <si>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</si>
  <si>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</si>
  <si>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</si>
  <si>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</si>
  <si>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</si>
  <si>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</si>
  <si>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</si>
  <si>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</si>
  <si>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</si>
  <si>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</si>
  <si>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</si>
  <si>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</si>
  <si>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</si>
  <si>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</si>
  <si>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</si>
  <si>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</si>
  <si>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</si>
  <si>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</si>
  <si>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</si>
  <si>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</si>
  <si>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</si>
  <si>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</si>
  <si>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</si>
  <si>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</si>
  <si>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</si>
  <si>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</si>
  <si>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</si>
  <si>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</si>
  <si>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</si>
  <si>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</si>
  <si>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</si>
  <si>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</si>
  <si>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</si>
  <si>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</si>
  <si>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</si>
  <si>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</si>
  <si>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</si>
  <si>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</si>
  <si>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</si>
  <si>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</si>
  <si>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</si>
  <si>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</si>
  <si>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</si>
  <si>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</si>
  <si>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</si>
  <si>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</si>
  <si>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</si>
  <si>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</si>
  <si>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</si>
  <si>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</si>
  <si>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</si>
  <si>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</si>
  <si>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</si>
  <si>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</si>
  <si>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</si>
  <si>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</si>
  <si>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</si>
  <si>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</si>
  <si>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</si>
  <si>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</si>
  <si>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</si>
  <si>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</si>
  <si>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</si>
  <si>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</si>
  <si>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</si>
  <si>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</si>
  <si>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</si>
  <si>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</si>
  <si>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</si>
  <si>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</si>
  <si>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</si>
  <si>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</si>
  <si>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</si>
  <si>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</si>
  <si>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</si>
  <si>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</si>
  <si>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</si>
  <si>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</si>
  <si>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</si>
  <si>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</si>
  <si>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</si>
  <si>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</si>
  <si>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</si>
  <si>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</si>
  <si>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</si>
  <si>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</si>
  <si>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</si>
  <si>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</si>
  <si>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</si>
  <si>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</si>
  <si>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</si>
  <si>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</si>
  <si>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</si>
  <si>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</si>
  <si>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</si>
  <si>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</si>
  <si>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</si>
  <si>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</si>
  <si>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</si>
  <si>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</si>
  <si>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</si>
  <si>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</si>
  <si>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</si>
  <si>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</si>
  <si>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</si>
  <si>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</si>
  <si>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</si>
  <si>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</si>
  <si>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</si>
  <si>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</si>
  <si>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</si>
  <si>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</si>
  <si>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</si>
  <si>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</si>
  <si>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</si>
  <si>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</si>
  <si>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</si>
  <si>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</si>
  <si>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</si>
  <si>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</si>
  <si>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</si>
  <si>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</si>
  <si>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</si>
  <si>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</si>
  <si>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</si>
  <si>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</si>
  <si>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</si>
  <si>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</si>
  <si>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</si>
  <si>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</si>
  <si>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</si>
  <si>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</si>
  <si>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</si>
  <si>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</si>
  <si>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</si>
  <si>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</si>
  <si>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</si>
  <si>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</si>
  <si>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</si>
  <si>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</si>
  <si>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</si>
  <si>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</si>
  <si>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</si>
  <si>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</si>
  <si>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</si>
  <si>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</si>
  <si>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</si>
  <si>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</si>
  <si>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</si>
  <si>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</si>
  <si>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</si>
  <si>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</si>
  <si>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</si>
  <si>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</si>
  <si>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</si>
  <si>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</si>
  <si>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</si>
  <si>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</si>
  <si>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</si>
  <si>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</si>
  <si>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</si>
  <si>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</si>
  <si>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</si>
  <si>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</si>
  <si>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</si>
  <si>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</si>
  <si>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</si>
  <si>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</si>
  <si>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</si>
  <si>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</si>
  <si>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</si>
  <si>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</si>
  <si>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</si>
  <si>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</si>
  <si>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</si>
  <si>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</si>
  <si>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</si>
  <si>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</si>
  <si>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</si>
  <si>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</si>
  <si>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</si>
  <si>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</si>
  <si>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</si>
  <si>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</si>
  <si>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</si>
  <si>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</si>
  <si>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</si>
  <si>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</si>
  <si>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</si>
  <si>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</si>
  <si>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</si>
  <si>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</si>
  <si>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</si>
  <si>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</si>
  <si>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</si>
  <si>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</si>
  <si>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</si>
  <si>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</si>
  <si>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</si>
  <si>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</si>
  <si>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</si>
  <si>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</si>
  <si>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</si>
  <si>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</si>
  <si>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</si>
  <si>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</si>
  <si>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</si>
  <si>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</si>
  <si>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</si>
  <si>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</si>
  <si>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</si>
  <si>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</si>
  <si>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</si>
  <si>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</si>
  <si>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</si>
  <si>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</si>
  <si>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</si>
  <si>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</si>
  <si>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</si>
  <si>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</si>
  <si>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</si>
  <si>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</si>
  <si>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</si>
  <si>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</si>
  <si>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</si>
  <si>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</si>
  <si>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</si>
  <si>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</si>
  <si>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</si>
  <si>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</si>
  <si>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</si>
  <si>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</si>
  <si>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</si>
  <si>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</si>
  <si>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</si>
  <si>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</si>
  <si>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</si>
  <si>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</si>
  <si>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</si>
  <si>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</si>
  <si>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</si>
  <si>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</si>
  <si>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</si>
  <si>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</si>
  <si>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</si>
  <si>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</si>
  <si>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</si>
  <si>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</si>
  <si>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</si>
  <si>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</si>
  <si>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</si>
  <si>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</si>
  <si>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</si>
  <si>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</si>
  <si>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</si>
  <si>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</si>
  <si>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</si>
  <si>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</si>
  <si>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</si>
  <si>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</si>
  <si>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</si>
  <si>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</si>
  <si>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</si>
  <si>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</si>
  <si>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</si>
  <si>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</si>
  <si>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</si>
  <si>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</si>
  <si>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</si>
  <si>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</si>
  <si>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</si>
  <si>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</si>
  <si>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</si>
  <si>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</si>
  <si>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</si>
  <si>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</si>
  <si>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</si>
  <si>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</si>
  <si>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</si>
  <si>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</si>
  <si>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</si>
  <si>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</si>
  <si>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</si>
  <si>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</si>
  <si>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</si>
  <si>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</si>
  <si>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</si>
  <si>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</si>
  <si>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</si>
  <si>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</si>
  <si>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</si>
  <si>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</si>
  <si>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</si>
  <si>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</si>
  <si>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</si>
  <si>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</si>
  <si>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</si>
  <si>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</si>
  <si>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</si>
  <si>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</si>
  <si>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</si>
  <si>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</si>
  <si>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</si>
  <si>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</si>
  <si>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</si>
  <si>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</si>
  <si>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</si>
  <si>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</si>
  <si>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</si>
  <si>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</si>
  <si>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</si>
  <si>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</si>
  <si>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</si>
  <si>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</si>
  <si>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</si>
  <si>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</si>
  <si>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</si>
  <si>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</si>
  <si>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</si>
  <si>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</si>
  <si>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</si>
  <si>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</si>
  <si>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</si>
  <si>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</si>
  <si>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</si>
  <si>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</si>
  <si>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</si>
  <si>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</si>
  <si>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</si>
  <si>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</si>
  <si>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</si>
  <si>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</si>
  <si>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</si>
  <si>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</si>
  <si>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</si>
  <si>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</si>
  <si>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</si>
  <si>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</si>
  <si>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</si>
  <si>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</si>
  <si>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</si>
  <si>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</si>
  <si>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</si>
  <si>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</si>
  <si>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</si>
  <si>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</si>
  <si>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</si>
  <si>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</si>
  <si>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</si>
  <si>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</si>
  <si>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</si>
  <si>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</si>
  <si>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</si>
  <si>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</si>
  <si>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</si>
  <si>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</si>
  <si>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</si>
  <si>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</si>
  <si>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</si>
  <si>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</si>
  <si>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</si>
  <si>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</si>
  <si>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</si>
  <si>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</si>
  <si>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</si>
  <si>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</si>
  <si>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</si>
  <si>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</si>
  <si>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</si>
  <si>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</si>
  <si>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</si>
  <si>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</si>
  <si>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</si>
  <si>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</si>
  <si>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</si>
  <si>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</si>
  <si>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</si>
  <si>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</si>
  <si>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</si>
  <si>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</si>
  <si>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</si>
  <si>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</si>
  <si>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</si>
  <si>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</si>
  <si>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</si>
  <si>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</si>
  <si>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</si>
  <si>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</si>
  <si>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</si>
  <si>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</si>
  <si>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</si>
  <si>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</si>
  <si>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</si>
  <si>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</si>
  <si>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</si>
  <si>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</si>
  <si>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</si>
  <si>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</si>
  <si>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</si>
  <si>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</si>
  <si>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</si>
  <si>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</si>
  <si>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</si>
  <si>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</si>
  <si>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</si>
  <si>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</si>
  <si>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</si>
  <si>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</si>
  <si>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</si>
  <si>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</si>
  <si>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</si>
  <si>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</si>
  <si>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</si>
  <si>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</si>
  <si>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</si>
  <si>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</si>
  <si>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</si>
  <si>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</si>
  <si>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</si>
  <si>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</si>
  <si>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</si>
  <si>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</si>
  <si>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</si>
  <si>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</si>
  <si>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</si>
  <si>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</si>
  <si>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</si>
  <si>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</si>
  <si>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</si>
  <si>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</si>
  <si>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</si>
  <si>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</si>
  <si>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</si>
  <si>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</si>
  <si>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</si>
  <si>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</si>
  <si>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</si>
  <si>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</si>
  <si>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</si>
  <si>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</si>
  <si>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</si>
  <si>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</si>
  <si>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</si>
  <si>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</si>
  <si>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</si>
  <si>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</si>
  <si>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</si>
  <si>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</si>
  <si>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</si>
  <si>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</si>
  <si>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</si>
  <si>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</si>
  <si>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</si>
  <si>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</si>
  <si>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</si>
  <si>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</si>
  <si>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</si>
  <si>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</si>
  <si>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</si>
  <si>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</si>
  <si>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</si>
  <si>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</si>
  <si>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</si>
  <si>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</si>
  <si>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</si>
  <si>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</si>
  <si>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</si>
  <si>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</si>
  <si>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</si>
  <si>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</si>
  <si>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</si>
  <si>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</si>
  <si>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</si>
  <si>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</si>
  <si>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</si>
  <si>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</si>
  <si>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</si>
  <si>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</si>
  <si>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</si>
  <si>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</si>
  <si>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</si>
  <si>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</si>
  <si>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</si>
  <si>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</si>
  <si>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</si>
  <si>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</si>
  <si>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</si>
  <si>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</si>
  <si>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</si>
  <si>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</si>
  <si>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</si>
  <si>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</si>
  <si>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</si>
  <si>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</si>
  <si>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</si>
  <si>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</si>
  <si>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</si>
  <si>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</si>
  <si>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</si>
  <si>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</si>
  <si>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</si>
  <si>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</si>
  <si>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</si>
  <si>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</si>
  <si>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</si>
  <si>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</si>
  <si>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</si>
  <si>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</si>
  <si>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</si>
  <si>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</si>
  <si>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</si>
  <si>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</si>
  <si>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</si>
  <si>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</si>
  <si>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</si>
  <si>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</si>
  <si>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</si>
  <si>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</si>
  <si>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</si>
  <si>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</si>
  <si>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</si>
  <si>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</si>
  <si>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</si>
  <si>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</si>
  <si>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</si>
  <si>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</si>
  <si>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</si>
  <si>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</si>
  <si>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</si>
  <si>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</si>
  <si>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</si>
  <si>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</si>
  <si>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</si>
  <si>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</si>
  <si>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</si>
  <si>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</si>
  <si>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</si>
  <si>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</si>
  <si>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</si>
  <si>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</si>
  <si>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</si>
  <si>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</si>
  <si>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</si>
  <si>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</si>
  <si>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</si>
  <si>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</si>
  <si>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</si>
  <si>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</si>
  <si>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</si>
  <si>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</si>
  <si>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</si>
  <si>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</si>
  <si>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</si>
  <si>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</si>
  <si>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</si>
  <si>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</si>
  <si>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</si>
  <si>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</si>
  <si>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</si>
  <si>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</si>
  <si>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</si>
  <si>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</si>
  <si>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</si>
  <si>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</si>
  <si>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</si>
  <si>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</si>
  <si>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</si>
  <si>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</si>
  <si>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</si>
  <si>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</si>
  <si>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</si>
  <si>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</si>
  <si>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</si>
  <si>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</si>
  <si>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</si>
  <si>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</si>
  <si>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</si>
  <si>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</si>
  <si>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</si>
  <si>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</si>
  <si>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</si>
  <si>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</si>
  <si>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</si>
  <si>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</si>
  <si>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</si>
  <si>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</si>
  <si>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</si>
  <si>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</si>
  <si>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</si>
  <si>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</si>
  <si>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</si>
  <si>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</si>
  <si>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</si>
  <si>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</si>
  <si>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</si>
  <si>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</si>
  <si>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</si>
  <si>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</si>
  <si>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</si>
  <si>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</si>
  <si>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</si>
  <si>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</si>
  <si>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</si>
  <si>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</si>
  <si>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</si>
  <si>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</si>
  <si>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</si>
  <si>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</si>
  <si>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</si>
  <si>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</si>
  <si>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</si>
  <si>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</si>
  <si>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</si>
  <si>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</si>
  <si>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</si>
  <si>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</si>
  <si>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</si>
  <si>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</si>
  <si>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</si>
  <si>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</si>
  <si>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</si>
  <si>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</si>
  <si>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</si>
  <si>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</si>
  <si>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</si>
  <si>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</si>
  <si>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</si>
  <si>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</si>
  <si>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</si>
  <si>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</si>
  <si>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</si>
  <si>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</si>
  <si>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</si>
  <si>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</si>
  <si>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</si>
  <si>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</si>
  <si>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</si>
  <si>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</si>
  <si>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</si>
  <si>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</si>
  <si>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</si>
  <si>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</si>
  <si>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</si>
  <si>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</si>
  <si>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</si>
  <si>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</si>
  <si>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</si>
  <si>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</si>
  <si>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</si>
  <si>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</si>
  <si>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</si>
  <si>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</si>
  <si>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</si>
  <si>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</si>
  <si>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</si>
  <si>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</si>
  <si>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</si>
  <si>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</si>
  <si>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</si>
  <si>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</si>
  <si>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</si>
  <si>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</si>
  <si>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</si>
  <si>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</si>
  <si>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</si>
  <si>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</si>
  <si>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</si>
  <si>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</si>
  <si>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</si>
  <si>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</si>
  <si>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</si>
  <si>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</si>
  <si>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</si>
  <si>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</si>
  <si>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</si>
  <si>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</si>
  <si>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</si>
  <si>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</si>
  <si>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</si>
  <si>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</si>
  <si>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</si>
  <si>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</si>
  <si>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</si>
  <si>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</si>
  <si>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</si>
  <si>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</si>
  <si>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</si>
  <si>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</si>
  <si>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</si>
  <si>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</si>
  <si>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</si>
  <si>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</si>
  <si>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</si>
  <si>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</si>
  <si>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</si>
  <si>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</si>
  <si>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</si>
  <si>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</si>
  <si>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</si>
  <si>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</si>
  <si>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</si>
  <si>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</si>
  <si>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</si>
  <si>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</si>
  <si>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</si>
  <si>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</si>
  <si>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</si>
  <si>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</si>
  <si>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</si>
  <si>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</si>
  <si>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</si>
  <si>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</si>
  <si>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</si>
  <si>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</si>
  <si>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</si>
  <si>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</si>
  <si>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</si>
  <si>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</si>
  <si>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</si>
  <si>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</si>
  <si>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</si>
  <si>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</si>
  <si>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</si>
  <si>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</si>
  <si>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</si>
  <si>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</si>
  <si>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</si>
  <si>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</si>
  <si>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</si>
  <si>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</si>
  <si>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</si>
  <si>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</si>
  <si>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</si>
  <si>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</si>
  <si>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</si>
  <si>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</si>
  <si>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</si>
  <si>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</si>
  <si>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</si>
  <si>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</si>
  <si>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</si>
  <si>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</si>
  <si>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</si>
  <si>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</si>
  <si>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</si>
  <si>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</si>
  <si>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</si>
  <si>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</si>
  <si>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</si>
  <si>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</si>
  <si>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</si>
  <si>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</si>
  <si>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</si>
  <si>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</si>
  <si>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</si>
  <si>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</si>
  <si>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</si>
  <si>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</si>
  <si>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</si>
  <si>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</si>
  <si>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</si>
  <si>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</si>
  <si>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</si>
  <si>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</si>
  <si>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</si>
  <si>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</si>
  <si>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</si>
  <si>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</si>
  <si>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</si>
  <si>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</si>
  <si>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</si>
  <si>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</si>
  <si>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</si>
  <si>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</si>
  <si>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</si>
  <si>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</si>
  <si>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</si>
  <si>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</si>
  <si>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</si>
  <si>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</si>
  <si>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</si>
  <si>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</si>
  <si>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</si>
  <si>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</si>
  <si>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</si>
  <si>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</si>
  <si>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</si>
  <si>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</si>
  <si>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</si>
  <si>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</si>
  <si>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</si>
  <si>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</si>
  <si>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</si>
  <si>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</si>
  <si>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</si>
  <si>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</si>
  <si>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</si>
  <si>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</si>
  <si>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</si>
  <si>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</si>
  <si>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</si>
  <si>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</si>
  <si>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</si>
  <si>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</si>
  <si>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</si>
  <si>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</si>
  <si>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</si>
  <si>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</si>
  <si>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</si>
  <si>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</si>
  <si>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</si>
  <si>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</si>
  <si>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</si>
  <si>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</si>
  <si>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</si>
  <si>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</si>
  <si>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</si>
  <si>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</si>
  <si>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</si>
  <si>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</si>
  <si>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</si>
  <si>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</si>
  <si>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</si>
  <si>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</si>
  <si>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</si>
  <si>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</si>
  <si>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</si>
  <si>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</si>
  <si>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</si>
  <si>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</si>
  <si>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</si>
  <si>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</si>
  <si>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</si>
  <si>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</si>
  <si>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</si>
  <si>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</si>
  <si>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</si>
  <si>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</si>
  <si>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</si>
  <si>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</si>
  <si>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</si>
  <si>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</si>
  <si>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</si>
  <si>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</si>
  <si>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</si>
  <si>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</si>
  <si>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</si>
  <si>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</si>
  <si>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</si>
  <si>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</si>
  <si>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</si>
  <si>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</si>
  <si>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</si>
  <si>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</si>
  <si>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</si>
  <si>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</si>
  <si>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</si>
  <si>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</si>
  <si>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</si>
  <si>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</si>
  <si>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</si>
  <si>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</si>
  <si>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</si>
  <si>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</si>
  <si>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</si>
  <si>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</si>
  <si>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</si>
  <si>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</si>
  <si>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</si>
  <si>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</si>
  <si>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</si>
  <si>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</si>
  <si>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</si>
  <si>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</si>
  <si>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</si>
  <si>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</si>
  <si>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</si>
  <si>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</si>
  <si>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</si>
  <si>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</si>
  <si>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</si>
  <si>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</si>
  <si>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</si>
  <si>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</si>
  <si>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</si>
  <si>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</si>
  <si>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</si>
  <si>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</si>
  <si>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</si>
  <si>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</si>
  <si>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</si>
  <si>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</si>
  <si>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</si>
  <si>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</si>
  <si>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</si>
  <si>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</si>
  <si>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</si>
  <si>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</si>
  <si>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</si>
  <si>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</si>
  <si>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</si>
  <si>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</si>
  <si>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</si>
  <si>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</si>
  <si>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</si>
  <si>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</si>
  <si>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</si>
  <si>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</si>
  <si>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</si>
  <si>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</si>
  <si>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</si>
  <si>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</si>
  <si>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</si>
  <si>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</si>
  <si>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</si>
  <si>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</si>
  <si>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</si>
  <si>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</si>
  <si>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</si>
  <si>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</si>
  <si>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</si>
  <si>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</si>
  <si>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</si>
  <si>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</si>
  <si>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</si>
  <si>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</si>
  <si>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</si>
  <si>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</si>
  <si>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</si>
  <si>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</si>
  <si>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</si>
  <si>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</si>
  <si>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</si>
  <si>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</si>
  <si>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</si>
  <si>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</si>
  <si>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</si>
  <si>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</si>
  <si>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</si>
  <si>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</si>
  <si>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</si>
  <si>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</si>
  <si>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</si>
  <si>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</si>
  <si>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</si>
  <si>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</si>
  <si>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</si>
  <si>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</si>
  <si>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</si>
  <si>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</si>
  <si>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</si>
  <si>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</si>
  <si>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</si>
  <si>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</si>
  <si>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</si>
  <si>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</si>
  <si>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</si>
  <si>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</si>
  <si>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</si>
  <si>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</si>
  <si>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</si>
  <si>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</si>
  <si>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</si>
  <si>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</si>
  <si>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</si>
  <si>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</si>
  <si>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</si>
  <si>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</si>
  <si>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</si>
  <si>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</si>
  <si>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</si>
  <si>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</si>
  <si>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</si>
  <si>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</si>
  <si>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</si>
  <si>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</si>
  <si>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</si>
  <si>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</si>
  <si>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</si>
  <si>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</si>
  <si>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</si>
  <si>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</si>
  <si>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</si>
  <si>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</si>
  <si>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</si>
  <si>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</si>
  <si>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</si>
  <si>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</si>
  <si>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</si>
  <si>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</si>
  <si>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</si>
  <si>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</si>
  <si>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</si>
  <si>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</si>
  <si>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</si>
  <si>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</si>
  <si>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</si>
  <si>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</si>
  <si>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</si>
  <si>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</si>
  <si>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</si>
  <si>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</si>
  <si>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</si>
  <si>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</si>
  <si>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</si>
  <si>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</si>
  <si>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</si>
  <si>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</si>
  <si>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</si>
  <si>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</si>
  <si>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</si>
  <si>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</si>
  <si>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</si>
  <si>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</si>
  <si>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</si>
  <si>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</si>
  <si>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</si>
  <si>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</si>
  <si>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</si>
  <si>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</si>
  <si>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</si>
  <si>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</si>
  <si>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</si>
  <si>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</si>
  <si>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</si>
  <si>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</si>
  <si>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</si>
  <si>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</si>
  <si>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</si>
  <si>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</si>
  <si>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</si>
  <si>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</si>
  <si>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</si>
  <si>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</si>
  <si>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</si>
  <si>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</si>
  <si>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</si>
  <si>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</si>
  <si>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</si>
  <si>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</si>
  <si>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</si>
  <si>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</si>
  <si>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</si>
  <si>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</si>
  <si>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</si>
  <si>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</si>
  <si>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</si>
  <si>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</si>
  <si>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</si>
  <si>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</si>
  <si>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</si>
  <si>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</si>
  <si>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</si>
  <si>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</si>
  <si>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</si>
  <si>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</si>
  <si>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</si>
  <si>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</si>
  <si>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</si>
  <si>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</si>
  <si>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</si>
  <si>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</si>
  <si>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</si>
  <si>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</si>
  <si>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</si>
  <si>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</si>
  <si>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</si>
  <si>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</si>
  <si>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</si>
  <si>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</si>
  <si>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</si>
  <si>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</si>
  <si>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</si>
  <si>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</si>
  <si>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</si>
  <si>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</si>
  <si>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</si>
  <si>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</si>
  <si>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</si>
  <si>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</si>
  <si>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</si>
  <si>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</si>
  <si>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</si>
  <si>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</si>
  <si>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</si>
  <si>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</si>
  <si>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</si>
  <si>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</si>
  <si>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</si>
  <si>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</si>
  <si>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</si>
  <si>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</si>
  <si>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</si>
  <si>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</si>
  <si>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</si>
  <si>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</si>
  <si>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</si>
  <si>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</si>
  <si>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</si>
  <si>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</si>
  <si>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</si>
  <si>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</si>
  <si>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</si>
  <si>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</si>
  <si>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</si>
  <si>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</si>
  <si>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</si>
  <si>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</si>
  <si>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</si>
  <si>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</si>
  <si>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</si>
  <si>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</si>
  <si>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</si>
  <si>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</si>
  <si>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</si>
  <si>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</si>
  <si>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</si>
  <si>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</si>
  <si>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</si>
  <si>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</si>
  <si>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</si>
  <si>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</si>
  <si>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</si>
  <si>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</si>
  <si>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</si>
  <si>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</si>
  <si>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</si>
  <si>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</si>
  <si>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</si>
  <si>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</si>
  <si>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</si>
  <si>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</si>
  <si>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</si>
  <si>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</si>
  <si>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</si>
  <si>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</si>
  <si>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</si>
  <si>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</si>
  <si>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</si>
  <si>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</si>
  <si>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</si>
  <si>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</si>
  <si>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</si>
  <si>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</si>
  <si>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</si>
  <si>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</si>
  <si>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</si>
  <si>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</si>
  <si>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</si>
  <si>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</si>
  <si>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</si>
  <si>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</si>
  <si>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</si>
  <si>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</si>
  <si>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</si>
  <si>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</si>
  <si>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</si>
  <si>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</si>
  <si>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</si>
  <si>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</si>
  <si>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</si>
  <si>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</si>
  <si>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</si>
  <si>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</si>
  <si>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</si>
  <si>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</si>
  <si>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</si>
  <si>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</si>
  <si>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</si>
  <si>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</si>
  <si>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</si>
  <si>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</si>
  <si>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</si>
  <si>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</si>
  <si>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</si>
  <si>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</si>
  <si>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</si>
  <si>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</si>
  <si>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</si>
  <si>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</si>
  <si>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</si>
  <si>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</si>
  <si>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</si>
  <si>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</si>
  <si>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</si>
  <si>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</si>
  <si>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</si>
  <si>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</si>
  <si>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</si>
  <si>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</si>
  <si>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</si>
  <si>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</si>
  <si>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</si>
  <si>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</si>
  <si>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</si>
  <si>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</si>
  <si>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</si>
  <si>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</si>
  <si>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</si>
  <si>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</si>
  <si>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</si>
  <si>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</si>
  <si>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</si>
  <si>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</si>
  <si>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</si>
  <si>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</si>
  <si>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</si>
  <si>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</si>
  <si>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</si>
  <si>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</si>
  <si>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</si>
  <si>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</si>
  <si>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</si>
  <si>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</si>
  <si>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</si>
  <si>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</si>
  <si>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</si>
  <si>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</si>
  <si>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</si>
  <si>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</si>
  <si>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</si>
  <si>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</si>
  <si>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</si>
  <si>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</si>
  <si>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</si>
  <si>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</si>
  <si>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</si>
  <si>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</si>
  <si>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</si>
  <si>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</si>
  <si>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</si>
  <si>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</si>
  <si>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</si>
  <si>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</si>
  <si>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</si>
  <si>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</si>
  <si>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</si>
  <si>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</si>
  <si>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</si>
  <si>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</si>
  <si>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</si>
  <si>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</si>
  <si>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</si>
  <si>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</si>
  <si>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</si>
  <si>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</si>
  <si>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</si>
  <si>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</si>
  <si>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</si>
  <si>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</si>
  <si>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</si>
  <si>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</si>
  <si>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</si>
  <si>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</si>
  <si>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</si>
  <si>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</si>
  <si>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</si>
  <si>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</si>
  <si>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</si>
  <si>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</si>
  <si>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</si>
  <si>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</si>
  <si>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</si>
  <si>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</si>
  <si>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</si>
  <si>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</si>
  <si>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</si>
  <si>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</si>
  <si>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</si>
  <si>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</si>
  <si>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</si>
  <si>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</si>
  <si>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</si>
  <si>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</si>
  <si>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</si>
  <si>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</si>
  <si>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</si>
  <si>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</si>
  <si>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</si>
  <si>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</si>
  <si>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</si>
  <si>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</si>
  <si>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</si>
  <si>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</si>
  <si>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</si>
  <si>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</si>
  <si>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</si>
  <si>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</si>
  <si>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</si>
  <si>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</si>
  <si>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</si>
  <si>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</si>
  <si>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</si>
  <si>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</si>
  <si>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</si>
  <si>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</si>
  <si>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</si>
  <si>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</si>
  <si>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</si>
  <si>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</si>
  <si>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</si>
  <si>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</si>
  <si>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</si>
  <si>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</si>
  <si>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</si>
  <si>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</si>
  <si>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</si>
  <si>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</si>
  <si>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</si>
  <si>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</si>
  <si>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</si>
  <si>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</si>
  <si>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</si>
  <si>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</si>
  <si>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</si>
  <si>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</si>
  <si>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</si>
  <si>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</si>
  <si>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</si>
  <si>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</si>
  <si>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</si>
  <si>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</si>
  <si>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</si>
  <si>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</si>
  <si>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</si>
  <si>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</si>
  <si>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</si>
  <si>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</si>
  <si>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</si>
  <si>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</si>
  <si>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</si>
  <si>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</si>
  <si>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</si>
  <si>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</si>
  <si>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</si>
  <si>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</si>
  <si>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</si>
  <si>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</si>
  <si>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</si>
  <si>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</si>
  <si>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</si>
  <si>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</si>
  <si>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</si>
  <si>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</si>
  <si>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</si>
  <si>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</si>
  <si>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</si>
  <si>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</si>
  <si>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</si>
  <si>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</si>
  <si>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</si>
  <si>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</si>
  <si>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</si>
  <si>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</si>
  <si>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</si>
  <si>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</si>
  <si>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</si>
  <si>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</si>
  <si>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</si>
  <si>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</si>
  <si>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</si>
  <si>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</si>
  <si>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</si>
  <si>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</si>
  <si>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</si>
  <si>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</si>
  <si>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</si>
  <si>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</si>
  <si>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</si>
  <si>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</si>
  <si>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</si>
  <si>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</si>
  <si>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</si>
  <si>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</si>
  <si>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</si>
  <si>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</si>
  <si>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</si>
  <si>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</si>
  <si>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</si>
  <si>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</si>
  <si>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</si>
  <si>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</si>
  <si>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</si>
  <si>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</si>
  <si>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</si>
  <si>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</si>
  <si>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</si>
  <si>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</si>
  <si>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</si>
  <si>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</si>
  <si>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</si>
  <si>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</si>
  <si>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</si>
  <si>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</si>
  <si>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</si>
  <si>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</si>
  <si>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</si>
  <si>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</si>
  <si>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</si>
  <si>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</si>
  <si>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</si>
  <si>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</si>
  <si>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</si>
  <si>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</si>
  <si>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</si>
  <si>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</si>
  <si>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</si>
  <si>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</si>
  <si>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</si>
  <si>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</si>
  <si>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</si>
  <si>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</si>
  <si>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</si>
  <si>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</si>
  <si>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</si>
  <si>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</si>
  <si>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</si>
  <si>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</si>
  <si>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</si>
  <si>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</si>
  <si>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</si>
  <si>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</si>
  <si>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</si>
  <si>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</si>
  <si>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</si>
  <si>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</si>
  <si>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</si>
  <si>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</si>
  <si>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</si>
  <si>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</si>
  <si>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</si>
  <si>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</si>
  <si>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</si>
  <si>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</si>
  <si>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</si>
  <si>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</si>
  <si>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</si>
  <si>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</si>
  <si>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</si>
  <si>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</si>
  <si>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</si>
  <si>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</si>
  <si>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</si>
  <si>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</si>
  <si>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</si>
  <si>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</si>
  <si>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</si>
  <si>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</si>
  <si>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</si>
  <si>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</si>
  <si>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</si>
  <si>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</si>
  <si>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</si>
  <si>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</si>
  <si>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</si>
  <si>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</si>
  <si>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</si>
  <si>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</si>
  <si>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</si>
  <si>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</si>
  <si>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</si>
  <si>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</si>
  <si>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</si>
  <si>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</si>
  <si>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</si>
  <si>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</si>
  <si>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</si>
  <si>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</si>
  <si>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</si>
  <si>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</si>
  <si>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</si>
  <si>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</si>
  <si>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</si>
  <si>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</si>
  <si>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</si>
  <si>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</si>
  <si>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</si>
  <si>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</si>
  <si>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</si>
  <si>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</si>
  <si>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</si>
  <si>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</si>
  <si>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</si>
  <si>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</si>
  <si>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</si>
  <si>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</si>
  <si>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</si>
  <si>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</si>
  <si>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</si>
  <si>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</si>
  <si>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</si>
  <si>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</si>
  <si>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</si>
  <si>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</si>
  <si>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</si>
  <si>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</si>
  <si>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</si>
  <si>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</si>
  <si>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</si>
  <si>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</si>
  <si>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</si>
  <si>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</si>
  <si>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</si>
  <si>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</si>
  <si>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</si>
  <si>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</si>
  <si>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</si>
  <si>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</si>
  <si>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</si>
  <si>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</si>
  <si>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</si>
  <si>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</si>
  <si>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</si>
  <si>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</si>
  <si>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</si>
  <si>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</si>
  <si>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</si>
  <si>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</si>
  <si>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</si>
  <si>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</si>
  <si>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</si>
  <si>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</si>
  <si>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</si>
  <si>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</si>
  <si>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</si>
  <si>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</si>
  <si>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</si>
  <si>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</si>
  <si>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</si>
  <si>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</si>
  <si>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</si>
  <si>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</si>
  <si>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</si>
  <si>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</si>
  <si>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</si>
  <si>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</si>
  <si>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</si>
  <si>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</si>
  <si>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</si>
  <si>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</si>
  <si>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</si>
  <si>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</si>
  <si>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</si>
  <si>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</si>
  <si>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</si>
  <si>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</si>
  <si>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</si>
  <si>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</si>
  <si>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</si>
  <si>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</si>
  <si>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</si>
  <si>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</si>
  <si>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</si>
  <si>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</si>
  <si>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</si>
  <si>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</si>
  <si>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</si>
  <si>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</si>
  <si>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</si>
  <si>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</si>
  <si>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</si>
  <si>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</si>
  <si>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</si>
  <si>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</si>
  <si>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</si>
  <si>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</si>
  <si>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</si>
  <si>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</si>
  <si>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</si>
  <si>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</si>
  <si>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</si>
  <si>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</si>
  <si>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</si>
  <si>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</si>
  <si>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</si>
  <si>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</si>
  <si>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</si>
  <si>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</si>
  <si>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</si>
  <si>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</si>
  <si>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</si>
  <si>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</si>
  <si>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</si>
  <si>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</si>
  <si>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</si>
  <si>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</si>
  <si>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</si>
  <si>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</si>
  <si>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</si>
  <si>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</si>
  <si>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</si>
  <si>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</si>
  <si>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</si>
  <si>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</si>
  <si>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</si>
  <si>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</si>
  <si>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</si>
  <si>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</si>
  <si>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</si>
  <si>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</si>
  <si>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</si>
  <si>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</si>
  <si>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</si>
  <si>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</si>
  <si>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</si>
  <si>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</si>
  <si>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</si>
  <si>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</si>
  <si>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</si>
  <si>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</si>
  <si>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</si>
  <si>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</si>
  <si>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</si>
  <si>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</si>
  <si>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</si>
  <si>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</si>
  <si>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</si>
  <si>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</si>
  <si>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</si>
  <si>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</si>
  <si>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</si>
  <si>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</si>
  <si>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</si>
  <si>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</si>
  <si>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</si>
  <si>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</si>
  <si>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</si>
  <si>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</si>
  <si>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</si>
  <si>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</si>
  <si>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</si>
  <si>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</si>
  <si>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</si>
  <si>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</si>
  <si>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</si>
  <si>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</si>
  <si>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</si>
  <si>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</si>
  <si>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</si>
  <si>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</si>
  <si>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</si>
  <si>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</si>
  <si>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</si>
  <si>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</si>
  <si>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</si>
  <si>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</si>
  <si>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</si>
  <si>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</si>
  <si>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</si>
  <si>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</si>
  <si>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</si>
  <si>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</si>
  <si>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</si>
  <si>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</si>
  <si>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</si>
  <si>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</si>
  <si>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</si>
  <si>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</si>
  <si>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</si>
  <si>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</si>
  <si>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</si>
  <si>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</si>
  <si>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</si>
  <si>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</si>
  <si>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</si>
  <si>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</si>
  <si>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</si>
  <si>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</si>
  <si>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</si>
  <si>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</si>
  <si>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</si>
  <si>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</si>
  <si>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</si>
  <si>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</si>
  <si>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</si>
  <si>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</si>
  <si>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</si>
  <si>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</si>
  <si>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</si>
  <si>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</si>
  <si>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</si>
  <si>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</si>
  <si>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</si>
  <si>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</si>
  <si>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</si>
  <si>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</si>
  <si>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</si>
  <si>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</si>
  <si>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</si>
  <si>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</si>
  <si>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</si>
  <si>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</si>
  <si>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</si>
  <si>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</si>
  <si>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</si>
  <si>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</si>
  <si>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</si>
  <si>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</si>
  <si>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</si>
  <si>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</si>
  <si>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</si>
  <si>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</si>
  <si>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</si>
  <si>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</si>
  <si>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</si>
  <si>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</si>
  <si>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</si>
  <si>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</si>
  <si>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</si>
  <si>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</si>
  <si>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</si>
  <si>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</si>
  <si>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</si>
  <si>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</si>
  <si>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</si>
  <si>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</si>
  <si>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</si>
  <si>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</si>
  <si>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</si>
  <si>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</si>
  <si>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</si>
  <si>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</si>
  <si>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</si>
  <si>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</si>
  <si>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</si>
  <si>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</si>
  <si>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</si>
  <si>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</si>
  <si>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</si>
  <si>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</si>
  <si>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</si>
  <si>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</si>
  <si>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</si>
  <si>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</si>
  <si>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</si>
  <si>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</si>
  <si>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</si>
  <si>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</si>
  <si>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</si>
  <si>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</si>
  <si>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</si>
  <si>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</si>
  <si>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</si>
  <si>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</si>
  <si>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</si>
  <si>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</si>
  <si>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</si>
  <si>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</si>
  <si>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</si>
  <si>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</si>
  <si>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</si>
  <si>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</si>
  <si>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</si>
  <si>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</si>
  <si>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</si>
  <si>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</si>
  <si>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</si>
  <si>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</si>
  <si>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</si>
  <si>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</si>
  <si>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</si>
  <si>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</si>
  <si>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</si>
  <si>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</si>
  <si>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</si>
  <si>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</si>
  <si>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</si>
  <si>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</si>
  <si>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</si>
  <si>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</si>
  <si>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</si>
  <si>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</si>
  <si>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</si>
  <si>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</si>
  <si>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</si>
  <si>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</si>
  <si>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</si>
  <si>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</si>
  <si>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</si>
  <si>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</si>
  <si>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</si>
  <si>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</si>
  <si>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</si>
  <si>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</si>
  <si>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</si>
  <si>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</si>
  <si>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</si>
  <si>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</si>
  <si>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</si>
  <si>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</si>
  <si>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</si>
  <si>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</si>
  <si>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</si>
  <si>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</si>
  <si>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</si>
  <si>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</si>
  <si>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</si>
  <si>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</si>
  <si>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</si>
  <si>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</si>
  <si>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</si>
  <si>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</si>
  <si>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</si>
  <si>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</si>
  <si>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</si>
  <si>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</si>
  <si>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</si>
  <si>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</si>
  <si>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</si>
  <si>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</si>
  <si>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</si>
  <si>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</si>
  <si>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</si>
  <si>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</si>
  <si>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</si>
  <si>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</si>
  <si>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</si>
  <si>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</si>
  <si>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</si>
  <si>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</si>
  <si>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</si>
  <si>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</si>
  <si>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</si>
  <si>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</si>
  <si>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</si>
  <si>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</si>
  <si>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</si>
  <si>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</si>
  <si>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</si>
  <si>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</si>
  <si>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</si>
  <si>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</si>
  <si>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</si>
  <si>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</si>
  <si>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</si>
  <si>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</si>
  <si>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</si>
  <si>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</si>
  <si>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</si>
  <si>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</si>
  <si>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</si>
  <si>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</si>
  <si>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</si>
  <si>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</si>
  <si>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</si>
  <si>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</si>
  <si>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</si>
  <si>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</si>
  <si>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</si>
  <si>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</si>
  <si>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</si>
  <si>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</si>
  <si>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</si>
  <si>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</si>
  <si>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</si>
  <si>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</si>
  <si>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</si>
  <si>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</si>
  <si>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</si>
  <si>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</si>
  <si>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</si>
  <si>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</si>
  <si>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</si>
  <si>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</si>
  <si>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</si>
  <si>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</si>
  <si>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</si>
  <si>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</si>
  <si>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</si>
  <si>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</si>
  <si>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</si>
  <si>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</si>
  <si>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</si>
  <si>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</si>
  <si>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</si>
  <si>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</si>
  <si>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</si>
  <si>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</si>
  <si>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</si>
  <si>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</si>
  <si>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</si>
  <si>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</si>
  <si>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</si>
  <si>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</si>
  <si>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</si>
  <si>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</si>
  <si>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</si>
  <si>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</si>
  <si>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</si>
  <si>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</si>
  <si>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</si>
  <si>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</si>
  <si>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</si>
  <si>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</si>
  <si>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</si>
  <si>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</si>
  <si>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</si>
  <si>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</si>
  <si>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</si>
  <si>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</si>
  <si>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</si>
  <si>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</si>
  <si>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</si>
  <si>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</si>
  <si>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</si>
  <si>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</si>
  <si>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</si>
  <si>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</si>
  <si>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</si>
  <si>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</si>
  <si>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</si>
  <si>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</si>
  <si>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</si>
  <si>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</si>
  <si>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</si>
  <si>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</si>
  <si>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</si>
  <si>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</si>
  <si>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</si>
  <si>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</si>
  <si>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</si>
  <si>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</si>
  <si>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</si>
  <si>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</si>
  <si>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</si>
  <si>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</si>
  <si>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</si>
  <si>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</si>
  <si>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</si>
  <si>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</si>
  <si>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</si>
  <si>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</si>
  <si>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</si>
  <si>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</si>
  <si>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</si>
  <si>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</si>
  <si>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</si>
  <si>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</si>
  <si>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</si>
  <si>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</si>
  <si>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</si>
  <si>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</si>
  <si>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</si>
  <si>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</si>
  <si>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</si>
  <si>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</si>
  <si>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</si>
  <si>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</si>
  <si>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</si>
  <si>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</si>
  <si>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</si>
  <si>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</si>
  <si>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</si>
  <si>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</si>
  <si>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</si>
  <si>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</si>
  <si>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</si>
  <si>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</si>
  <si>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</si>
  <si>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</si>
  <si>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</si>
  <si>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</si>
  <si>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</si>
  <si>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</si>
  <si>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</si>
  <si>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</si>
  <si>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</si>
  <si>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</si>
  <si>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</si>
  <si>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</si>
  <si>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</si>
  <si>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</si>
  <si>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</si>
  <si>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</si>
  <si>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</si>
  <si>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</si>
  <si>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</si>
  <si>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</si>
  <si>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</si>
  <si>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</si>
  <si>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</si>
  <si>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</si>
  <si>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</si>
  <si>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</si>
  <si>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</si>
  <si>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</si>
  <si>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</si>
  <si>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</si>
  <si>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</si>
  <si>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</si>
  <si>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</si>
  <si>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</si>
  <si>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</si>
  <si>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</si>
  <si>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</si>
  <si>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</si>
  <si>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</si>
  <si>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</si>
  <si>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</si>
  <si>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</si>
  <si>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</si>
  <si>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</si>
  <si>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</si>
  <si>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</si>
  <si>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</si>
  <si>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</si>
  <si>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</si>
  <si>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</si>
  <si>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</si>
  <si>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</si>
  <si>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</si>
  <si>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</si>
  <si>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</si>
  <si>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</si>
  <si>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</si>
  <si>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</si>
  <si>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</si>
  <si>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</si>
  <si>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</si>
  <si>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</si>
  <si>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</si>
  <si>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</si>
  <si>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</si>
  <si>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</si>
  <si>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</si>
  <si>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</si>
  <si>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</si>
  <si>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</si>
  <si>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</si>
  <si>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</si>
  <si>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</si>
  <si>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</si>
  <si>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</si>
  <si>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</si>
  <si>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</si>
  <si>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</si>
  <si>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</si>
  <si>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</si>
  <si>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</si>
  <si>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</si>
  <si>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</si>
  <si>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</si>
  <si>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</si>
  <si>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</si>
  <si>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</si>
  <si>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</si>
  <si>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</si>
  <si>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</si>
  <si>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</si>
  <si>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</si>
  <si>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</si>
  <si>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</si>
  <si>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</si>
  <si>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</si>
  <si>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</si>
  <si>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</si>
  <si>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</si>
  <si>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</si>
  <si>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</si>
  <si>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</si>
  <si>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</si>
  <si>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</si>
  <si>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</si>
  <si>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</si>
  <si>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</si>
  <si>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</si>
  <si>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</si>
  <si>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</si>
  <si>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</si>
  <si>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</si>
  <si>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</si>
  <si>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</si>
  <si>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</si>
  <si>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</si>
  <si>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</si>
  <si>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</si>
  <si>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</si>
  <si>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</si>
  <si>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</si>
  <si>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</si>
  <si>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</si>
  <si>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</si>
  <si>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</si>
  <si>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</si>
  <si>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</si>
  <si>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</si>
  <si>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</si>
  <si>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</si>
  <si>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</si>
  <si>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</si>
  <si>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</si>
  <si>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</si>
  <si>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</si>
  <si>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</si>
  <si>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</si>
  <si>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</si>
  <si>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</si>
  <si>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</si>
  <si>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</si>
  <si>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</si>
  <si>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</si>
  <si>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</si>
  <si>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</si>
  <si>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</si>
  <si>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</si>
  <si>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</si>
  <si>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</si>
  <si>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</si>
  <si>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</si>
  <si>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</si>
  <si>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</si>
  <si>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</si>
  <si>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</si>
  <si>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</si>
  <si>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</si>
  <si>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</si>
  <si>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</si>
  <si>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</si>
  <si>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</si>
  <si>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</si>
  <si>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</si>
  <si>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</si>
  <si>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</si>
  <si>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</si>
  <si>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</si>
  <si>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</si>
  <si>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</si>
  <si>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</si>
  <si>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</si>
  <si>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</si>
  <si>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</si>
  <si>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</si>
  <si>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</si>
  <si>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</si>
  <si>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</si>
  <si>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</si>
  <si>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</si>
  <si>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</si>
  <si>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</si>
  <si>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</si>
  <si>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</si>
  <si>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</si>
  <si>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</si>
  <si>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</si>
  <si>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</si>
  <si>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</si>
  <si>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</si>
  <si>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</si>
  <si>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</si>
  <si>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</si>
  <si>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</si>
  <si>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</si>
  <si>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</si>
  <si>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</si>
  <si>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</si>
  <si>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</si>
  <si>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</si>
  <si>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</si>
  <si>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</si>
  <si>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</si>
  <si>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</si>
  <si>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</si>
  <si>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</si>
  <si>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</si>
  <si>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</si>
  <si>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</si>
  <si>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</si>
  <si>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</si>
  <si>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</si>
  <si>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</si>
  <si>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</si>
  <si>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</si>
  <si>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</si>
  <si>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</si>
  <si>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</si>
  <si>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</si>
  <si>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</si>
  <si>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</si>
  <si>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</si>
  <si>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</si>
  <si>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</si>
  <si>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</si>
  <si>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</si>
  <si>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</si>
  <si>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</si>
  <si>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</si>
  <si>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</si>
  <si>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</si>
  <si>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</si>
  <si>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</si>
  <si>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</si>
  <si>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</si>
  <si>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</si>
  <si>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</si>
  <si>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</si>
  <si>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</si>
  <si>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</si>
  <si>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</si>
  <si>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</si>
  <si>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</si>
  <si>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</si>
  <si>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</si>
  <si>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</si>
  <si>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</si>
  <si>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</si>
  <si>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</si>
  <si>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</si>
  <si>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</si>
  <si>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</si>
  <si>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</si>
  <si>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</si>
  <si>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</si>
  <si>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</si>
  <si>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</si>
  <si>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</si>
  <si>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</si>
  <si>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</si>
  <si>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</si>
  <si>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</si>
  <si>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</si>
  <si>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</si>
  <si>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</si>
  <si>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</si>
  <si>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</si>
  <si>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</si>
  <si>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</si>
  <si>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</si>
  <si>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</si>
  <si>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</si>
  <si>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</si>
  <si>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</si>
  <si>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</si>
  <si>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</si>
  <si>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</si>
  <si>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</si>
  <si>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</si>
  <si>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</si>
  <si>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</si>
  <si>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</si>
  <si>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</si>
  <si>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</si>
  <si>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</si>
  <si>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</si>
  <si>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</si>
  <si>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</si>
  <si>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</si>
  <si>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</si>
  <si>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</si>
  <si>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</si>
  <si>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</si>
  <si>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</si>
  <si>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</si>
  <si>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</si>
  <si>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</si>
  <si>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</si>
  <si>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</si>
  <si>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</si>
  <si>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</si>
  <si>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</si>
  <si>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</si>
  <si>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</si>
  <si>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</si>
  <si>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</si>
  <si>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</si>
  <si>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</si>
  <si>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</si>
  <si>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</si>
  <si>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</si>
  <si>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</si>
  <si>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</si>
  <si>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</si>
  <si>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</si>
  <si>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</si>
  <si>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</si>
  <si>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</si>
  <si>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</si>
  <si>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</si>
  <si>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</si>
  <si>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</si>
  <si>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</si>
  <si>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</si>
  <si>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</si>
  <si>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</si>
  <si>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</si>
  <si>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</si>
  <si>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</si>
  <si>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</si>
  <si>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</si>
  <si>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</si>
  <si>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</si>
  <si>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</si>
  <si>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</si>
  <si>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</si>
  <si>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</si>
  <si>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</si>
  <si>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</si>
  <si>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</si>
  <si>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</si>
  <si>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</si>
  <si>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</si>
  <si>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</si>
  <si>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</si>
  <si>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</si>
  <si>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</si>
  <si>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</si>
  <si>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</si>
  <si>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</si>
  <si>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</si>
  <si>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</si>
  <si>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</si>
  <si>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</si>
  <si>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</si>
  <si>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</si>
  <si>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</si>
  <si>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</si>
  <si>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</si>
  <si>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</si>
  <si>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</si>
  <si>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</si>
  <si>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</si>
  <si>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</si>
  <si>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</si>
  <si>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</si>
  <si>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</si>
  <si>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</si>
  <si>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</si>
  <si>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</si>
  <si>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</si>
  <si>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</si>
  <si>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</si>
  <si>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</si>
  <si>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</si>
  <si>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</si>
  <si>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</si>
  <si>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</si>
  <si>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</si>
  <si>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</si>
  <si>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</si>
  <si>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</si>
  <si>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</si>
  <si>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</si>
  <si>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</si>
  <si>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</si>
  <si>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</si>
  <si>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</si>
  <si>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</si>
  <si>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</si>
  <si>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</si>
  <si>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</si>
  <si>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</si>
  <si>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</si>
  <si>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</si>
  <si>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</si>
  <si>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</si>
  <si>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</si>
  <si>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</si>
  <si>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</si>
  <si>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</si>
  <si>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</si>
  <si>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</si>
  <si>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</si>
  <si>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</si>
  <si>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</si>
  <si>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</si>
  <si>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</si>
  <si>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</si>
  <si>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</si>
  <si>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</si>
  <si>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</si>
  <si>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</si>
  <si>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</si>
  <si>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</si>
  <si>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</si>
  <si>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</si>
  <si>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</si>
  <si>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</si>
  <si>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</si>
  <si>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</si>
  <si>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</si>
  <si>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</si>
  <si>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</si>
  <si>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</si>
  <si>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</si>
  <si>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</si>
  <si>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</si>
  <si>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</si>
  <si>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</si>
  <si>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</si>
  <si>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</si>
  <si>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</si>
  <si>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</si>
  <si>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</si>
  <si>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</si>
  <si>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</si>
  <si>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</si>
  <si>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</si>
  <si>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</si>
  <si>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</si>
  <si>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</si>
  <si>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</si>
  <si>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</si>
  <si>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</si>
  <si>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</si>
  <si>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</si>
  <si>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</si>
  <si>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</si>
  <si>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</si>
  <si>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</si>
  <si>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</si>
  <si>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</si>
  <si>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</si>
  <si>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</si>
  <si>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</si>
  <si>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</si>
  <si>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</si>
  <si>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</si>
  <si>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</si>
  <si>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</si>
  <si>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</si>
  <si>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</si>
  <si>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</si>
  <si>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</si>
  <si>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</si>
  <si>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</si>
  <si>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</si>
  <si>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</si>
  <si>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</si>
  <si>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</si>
  <si>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</si>
  <si>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</si>
  <si>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</si>
  <si>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</si>
  <si>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</si>
  <si>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</si>
  <si>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</si>
  <si>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</si>
  <si>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</si>
  <si>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</si>
  <si>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</si>
  <si>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</si>
  <si>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</si>
  <si>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</si>
  <si>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</si>
  <si>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</si>
  <si>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</si>
  <si>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</si>
  <si>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</si>
  <si>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</si>
  <si>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</si>
  <si>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</si>
  <si>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</si>
  <si>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</si>
  <si>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</si>
  <si>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</si>
  <si>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</si>
  <si>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</si>
  <si>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</si>
  <si>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</si>
  <si>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</si>
  <si>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</si>
  <si>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</si>
  <si>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</si>
  <si>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</si>
  <si>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</si>
  <si>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</si>
  <si>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</si>
  <si>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</si>
  <si>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</si>
  <si>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</si>
  <si>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</si>
  <si>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</si>
  <si>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</si>
  <si>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</si>
  <si>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</si>
  <si>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</si>
  <si>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</si>
  <si>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</si>
  <si>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</si>
  <si>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</si>
  <si>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</si>
  <si>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</si>
  <si>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</si>
  <si>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</si>
  <si>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</si>
  <si>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</si>
  <si>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</si>
  <si>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</si>
  <si>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</si>
  <si>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</si>
  <si>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</si>
  <si>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</si>
  <si>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</si>
  <si>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</si>
  <si>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</si>
  <si>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</si>
  <si>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</si>
  <si>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</si>
  <si>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</si>
  <si>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</si>
  <si>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</si>
  <si>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</si>
  <si>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</si>
  <si>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</si>
  <si>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</si>
  <si>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</si>
  <si>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</si>
  <si>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</si>
  <si>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</si>
  <si>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</si>
  <si>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</si>
  <si>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</si>
  <si>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</si>
  <si>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</si>
  <si>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</si>
  <si>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</si>
  <si>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</si>
  <si>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</si>
  <si>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</si>
  <si>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</si>
  <si>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</si>
  <si>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</si>
  <si>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</si>
  <si>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</si>
  <si>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</si>
  <si>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</si>
  <si>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</si>
  <si>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</si>
  <si>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</si>
  <si>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</si>
  <si>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</si>
  <si>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</si>
  <si>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</si>
  <si>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</si>
  <si>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</si>
  <si>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</si>
  <si>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</si>
  <si>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</si>
  <si>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</si>
  <si>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</si>
  <si>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</si>
  <si>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</si>
  <si>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</si>
  <si>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</si>
  <si>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</si>
  <si>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</si>
  <si>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</si>
  <si>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</si>
  <si>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</si>
  <si>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</si>
  <si>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</si>
  <si>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</si>
  <si>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</si>
  <si>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</si>
  <si>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</si>
  <si>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</si>
  <si>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</si>
  <si>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</si>
  <si>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</si>
  <si>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</si>
  <si>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</si>
  <si>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</si>
  <si>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</si>
  <si>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</si>
  <si>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</si>
  <si>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</si>
  <si>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</si>
  <si>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</si>
  <si>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</si>
  <si>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</si>
  <si>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</si>
  <si>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</si>
  <si>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</si>
  <si>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</si>
  <si>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</si>
  <si>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</si>
  <si>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</si>
  <si>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</si>
  <si>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</si>
  <si>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</si>
  <si>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</si>
  <si>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</si>
  <si>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</si>
  <si>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</si>
  <si>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</si>
  <si>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</si>
  <si>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</si>
  <si>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</si>
  <si>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</si>
  <si>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</si>
  <si>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</si>
  <si>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</si>
  <si>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</si>
  <si>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</si>
  <si>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</si>
  <si>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</si>
  <si>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</si>
  <si>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</si>
  <si>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</si>
  <si>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</si>
  <si>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</si>
  <si>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</si>
  <si>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</si>
  <si>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</si>
  <si>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</si>
  <si>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</si>
  <si>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</si>
  <si>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</si>
  <si>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</si>
  <si>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</si>
  <si>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</si>
  <si>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</si>
  <si>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</si>
  <si>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</si>
  <si>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</si>
  <si>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</si>
  <si>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</si>
  <si>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</si>
  <si>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</si>
  <si>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</si>
  <si>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</si>
  <si>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</si>
  <si>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</si>
  <si>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</si>
  <si>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</si>
  <si>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</si>
  <si>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</si>
  <si>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</si>
  <si>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</si>
  <si>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</si>
  <si>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</si>
  <si>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</si>
  <si>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</si>
  <si>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</si>
  <si>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</si>
  <si>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</si>
  <si>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</si>
  <si>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</si>
  <si>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</si>
  <si>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</si>
  <si>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</si>
  <si>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</si>
  <si>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</si>
  <si>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</si>
  <si>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</si>
  <si>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</si>
  <si>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</si>
  <si>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</si>
  <si>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</si>
  <si>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</si>
  <si>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</si>
  <si>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</si>
  <si>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</si>
  <si>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</si>
  <si>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</si>
  <si>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</si>
  <si>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</si>
  <si>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</si>
  <si>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</si>
  <si>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</si>
  <si>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</si>
  <si>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</si>
  <si>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</si>
  <si>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</si>
  <si>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</si>
  <si>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</si>
  <si>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</si>
  <si>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</si>
  <si>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</si>
  <si>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</si>
  <si>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</si>
  <si>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</si>
  <si>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</si>
  <si>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</si>
  <si>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</si>
  <si>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</si>
  <si>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</si>
  <si>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</si>
  <si>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</si>
  <si>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</si>
  <si>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</si>
  <si>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</si>
  <si>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</si>
  <si>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</si>
  <si>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</si>
  <si>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</si>
  <si>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</si>
  <si>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</si>
  <si>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</si>
  <si>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</si>
  <si>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</si>
  <si>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</si>
  <si>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</si>
  <si>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</si>
  <si>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</si>
  <si>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</si>
  <si>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</si>
  <si>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</si>
  <si>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</si>
  <si>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</si>
  <si>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</si>
  <si>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</si>
  <si>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</si>
  <si>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</si>
  <si>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</si>
  <si>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</si>
  <si>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</si>
  <si>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</si>
  <si>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</si>
  <si>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</si>
  <si>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</si>
  <si>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</si>
  <si>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</si>
  <si>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</si>
  <si>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</si>
  <si>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</si>
  <si>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</si>
  <si>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</si>
  <si>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</si>
  <si>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</si>
  <si>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</si>
  <si>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</si>
  <si>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</si>
  <si>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</si>
  <si>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</si>
  <si>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</si>
  <si>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</si>
  <si>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</si>
  <si>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</si>
  <si>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</si>
  <si>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</si>
  <si>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</si>
  <si>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</si>
  <si>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</si>
  <si>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</si>
  <si>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</si>
  <si>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</si>
  <si>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</si>
  <si>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</si>
  <si>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</si>
  <si>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</si>
  <si>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</si>
  <si>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</si>
  <si>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</si>
  <si>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</si>
  <si>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</si>
  <si>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</si>
  <si>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</si>
  <si>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</si>
  <si>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</si>
  <si>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</si>
  <si>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</si>
  <si>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</si>
  <si>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</si>
  <si>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</si>
  <si>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</si>
  <si>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</si>
  <si>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</si>
  <si>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</si>
  <si>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</si>
  <si>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</si>
  <si>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</si>
  <si>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</si>
  <si>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</si>
  <si>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</si>
  <si>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</si>
  <si>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</si>
  <si>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</si>
  <si>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</si>
  <si>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</si>
  <si>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</si>
  <si>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</si>
  <si>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</si>
  <si>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</si>
  <si>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</si>
  <si>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</si>
  <si>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</si>
  <si>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</si>
  <si>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</si>
  <si>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</si>
  <si>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</si>
  <si>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</si>
  <si>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</si>
  <si>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</si>
  <si>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</si>
  <si>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</si>
  <si>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</si>
  <si>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</si>
  <si>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</si>
  <si>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</si>
  <si>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</si>
  <si>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</si>
  <si>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</si>
  <si>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</si>
  <si>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</si>
  <si>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</si>
  <si>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</si>
  <si>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</si>
  <si>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</si>
  <si>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</si>
  <si>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</si>
  <si>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</si>
  <si>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</si>
  <si>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</si>
  <si>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</si>
  <si>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</si>
  <si>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</si>
  <si>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</si>
  <si>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</si>
  <si>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</si>
  <si>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</si>
  <si>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</si>
  <si>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</si>
  <si>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</si>
  <si>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</si>
  <si>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</si>
  <si>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</si>
  <si>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</si>
  <si>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</si>
  <si>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</si>
  <si>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</si>
  <si>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</si>
  <si>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</si>
  <si>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</si>
  <si>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</si>
  <si>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</si>
  <si>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</si>
  <si>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</si>
  <si>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</si>
  <si>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</si>
  <si>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</si>
  <si>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</si>
  <si>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</si>
  <si>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</si>
  <si>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</si>
  <si>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</si>
  <si>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</si>
  <si>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</si>
  <si>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</si>
  <si>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</si>
  <si>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</si>
  <si>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</si>
  <si>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</si>
  <si>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</si>
  <si>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</si>
  <si>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</si>
  <si>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</si>
  <si>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</si>
  <si>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</si>
  <si>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</si>
  <si>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</si>
  <si>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</si>
  <si>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</si>
  <si>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</si>
  <si>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</si>
  <si>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</si>
  <si>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</si>
  <si>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</si>
  <si>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</si>
  <si>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</si>
  <si>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</si>
  <si>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</si>
  <si>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</si>
  <si>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</si>
  <si>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</si>
  <si>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</si>
  <si>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</si>
  <si>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</si>
  <si>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</si>
  <si>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</si>
  <si>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</si>
  <si>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</si>
  <si>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</si>
  <si>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</si>
  <si>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</si>
  <si>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</si>
  <si>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</si>
  <si>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</si>
  <si>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</si>
  <si>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</si>
  <si>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</si>
  <si>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</si>
  <si>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</si>
  <si>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</si>
  <si>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</si>
  <si>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</si>
  <si>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</si>
  <si>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</si>
  <si>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</si>
  <si>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</si>
  <si>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</si>
  <si>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</si>
  <si>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</si>
  <si>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</si>
  <si>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</si>
  <si>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</si>
  <si>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</si>
  <si>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</si>
  <si>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</si>
  <si>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</si>
  <si>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</si>
  <si>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</si>
  <si>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</si>
  <si>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</si>
  <si>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</si>
  <si>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</si>
  <si>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</si>
  <si>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</si>
  <si>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</si>
  <si>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</si>
  <si>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</si>
  <si>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</si>
  <si>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</si>
  <si>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</si>
  <si>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</si>
  <si>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</si>
  <si>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</si>
  <si>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</si>
  <si>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</si>
  <si>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</si>
  <si>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</si>
  <si>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</si>
  <si>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</si>
  <si>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</si>
  <si>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</si>
  <si>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</si>
  <si>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</si>
  <si>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</si>
  <si>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</si>
  <si>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</si>
  <si>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</si>
  <si>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</si>
  <si>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</si>
  <si>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</si>
  <si>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</si>
  <si>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</si>
  <si>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</si>
  <si>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</si>
  <si>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</si>
  <si>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</si>
  <si>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</si>
  <si>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</si>
  <si>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</si>
  <si>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</si>
  <si>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</si>
  <si>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</si>
  <si>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</si>
  <si>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</si>
  <si>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</si>
  <si>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</si>
  <si>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</si>
  <si>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</si>
  <si>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</si>
  <si>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</si>
  <si>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</si>
  <si>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</si>
  <si>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</si>
  <si>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</si>
  <si>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</si>
  <si>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</si>
  <si>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</si>
  <si>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</si>
  <si>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</si>
  <si>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</si>
  <si>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</si>
  <si>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</si>
  <si>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</si>
  <si>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</si>
  <si>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</si>
  <si>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</si>
  <si>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</si>
  <si>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</si>
  <si>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</si>
  <si>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</si>
  <si>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</si>
  <si>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</si>
  <si>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</si>
  <si>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</si>
  <si>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</si>
  <si>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</si>
  <si>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</si>
  <si>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</si>
  <si>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</si>
  <si>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</si>
  <si>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</si>
  <si>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</si>
  <si>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</si>
  <si>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</si>
  <si>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</si>
  <si>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</si>
  <si>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</si>
  <si>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</si>
  <si>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</si>
  <si>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</si>
  <si>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</si>
  <si>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</si>
  <si>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</si>
  <si>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</si>
  <si>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</si>
  <si>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</si>
  <si>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</si>
  <si>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</si>
  <si>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</si>
  <si>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</si>
  <si>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</si>
  <si>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</si>
  <si>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</si>
  <si>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</si>
  <si>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</si>
  <si>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</si>
  <si>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</si>
  <si>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</si>
  <si>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</si>
  <si>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</si>
  <si>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</si>
  <si>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</si>
  <si>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</si>
  <si>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</si>
  <si>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</si>
  <si>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</si>
  <si>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</si>
  <si>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</si>
  <si>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</si>
  <si>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</si>
  <si>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</si>
  <si>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</si>
  <si>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</si>
  <si>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</si>
  <si>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</si>
  <si>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</si>
  <si>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</si>
  <si>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</si>
  <si>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</si>
  <si>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</si>
  <si>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</si>
  <si>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</si>
  <si>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</si>
  <si>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</si>
  <si>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</si>
  <si>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</si>
  <si>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</si>
  <si>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</si>
  <si>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</si>
  <si>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</si>
  <si>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</si>
  <si>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</si>
  <si>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</si>
  <si>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</si>
  <si>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</si>
  <si>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</si>
  <si>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</si>
  <si>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</si>
  <si>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</si>
  <si>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</si>
  <si>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</si>
  <si>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</si>
  <si>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</si>
  <si>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</si>
  <si>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</si>
  <si>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</si>
  <si>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</si>
  <si>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</si>
  <si>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</si>
  <si>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</si>
  <si>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</si>
  <si>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</si>
  <si>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</si>
  <si>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</si>
  <si>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</si>
  <si>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</si>
  <si>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</si>
  <si>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</si>
  <si>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</si>
  <si>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</si>
  <si>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</si>
  <si>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</si>
  <si>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</si>
  <si>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</si>
  <si>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</si>
  <si>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</si>
  <si>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</si>
  <si>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</si>
  <si>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</si>
  <si>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</si>
  <si>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</si>
  <si>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</si>
  <si>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</si>
  <si>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</si>
  <si>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</si>
  <si>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</si>
  <si>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</si>
  <si>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</si>
  <si>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</si>
  <si>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</si>
  <si>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</si>
  <si>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</si>
  <si>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</si>
  <si>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</si>
  <si>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</si>
  <si>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</si>
  <si>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</si>
  <si>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</si>
  <si>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</si>
  <si>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</si>
  <si>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</si>
  <si>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</si>
  <si>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</si>
  <si>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</si>
  <si>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</si>
  <si>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</si>
  <si>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</si>
  <si>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</si>
  <si>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</si>
  <si>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</si>
  <si>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</si>
  <si>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</si>
  <si>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</si>
  <si>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</si>
  <si>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</si>
  <si>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</si>
  <si>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</si>
  <si>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</si>
  <si>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</si>
  <si>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</si>
  <si>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</si>
  <si>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</si>
  <si>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</si>
  <si>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</si>
  <si>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</si>
  <si>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</si>
  <si>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</si>
  <si>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</si>
  <si>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</si>
  <si>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</si>
  <si>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</si>
  <si>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</si>
  <si>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</si>
  <si>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</si>
  <si>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</si>
  <si>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</si>
  <si>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</si>
  <si>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</si>
  <si>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</si>
  <si>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</si>
  <si>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</si>
  <si>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</si>
  <si>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</si>
  <si>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</si>
  <si>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</si>
  <si>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</si>
  <si>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</si>
  <si>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</si>
  <si>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</si>
  <si>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</si>
  <si>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</si>
  <si>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</si>
  <si>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</si>
  <si>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</si>
  <si>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</si>
  <si>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</si>
  <si>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</si>
  <si>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</si>
  <si>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</si>
  <si>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</si>
  <si>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</si>
  <si>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</si>
  <si>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</si>
  <si>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</si>
  <si>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</si>
  <si>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</si>
  <si>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</si>
  <si>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</si>
  <si>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</si>
  <si>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</si>
  <si>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</si>
  <si>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</si>
  <si>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</si>
  <si>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</si>
  <si>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</si>
  <si>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</si>
  <si>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</si>
  <si>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</si>
  <si>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</si>
  <si>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</si>
  <si>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</si>
  <si>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</si>
  <si>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</si>
  <si>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</si>
  <si>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</si>
  <si>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</si>
  <si>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</si>
  <si>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</si>
  <si>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</si>
  <si>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</si>
  <si>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</si>
  <si>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</si>
  <si>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</si>
  <si>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</si>
  <si>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</si>
  <si>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</si>
  <si>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</si>
  <si>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</si>
  <si>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</si>
  <si>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</si>
  <si>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</si>
  <si>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</si>
  <si>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</si>
  <si>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</si>
  <si>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</si>
  <si>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</si>
  <si>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</si>
  <si>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</si>
  <si>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</si>
  <si>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</si>
  <si>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</si>
  <si>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</si>
  <si>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</si>
  <si>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</si>
  <si>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</si>
  <si>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</si>
  <si>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</si>
  <si>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</si>
  <si>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</si>
  <si>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</si>
  <si>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</si>
  <si>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</si>
  <si>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</si>
  <si>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</si>
  <si>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</si>
  <si>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</si>
  <si>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</si>
  <si>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</si>
  <si>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</si>
  <si>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</si>
  <si>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</si>
  <si>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</si>
  <si>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</si>
  <si>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</si>
  <si>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</si>
  <si>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</si>
  <si>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</si>
  <si>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</si>
  <si>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</si>
  <si>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</si>
  <si>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</si>
  <si>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</si>
  <si>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</si>
  <si>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</si>
  <si>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</si>
  <si>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</si>
  <si>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</si>
  <si>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</si>
  <si>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</si>
  <si>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</si>
  <si>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</si>
  <si>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</si>
  <si>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</si>
  <si>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</si>
  <si>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</si>
  <si>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</si>
  <si>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</si>
  <si>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</si>
  <si>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</si>
  <si>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</si>
  <si>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</si>
  <si>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</si>
  <si>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</si>
  <si>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</si>
  <si>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</si>
  <si>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</si>
  <si>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</si>
  <si>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</si>
  <si>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</si>
  <si>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</si>
  <si>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</si>
  <si>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</si>
  <si>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</si>
  <si>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</si>
  <si>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</si>
  <si>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</si>
  <si>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</si>
  <si>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</si>
  <si>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</si>
  <si>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</si>
  <si>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</si>
  <si>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</si>
  <si>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</si>
  <si>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</si>
  <si>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</si>
  <si>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</si>
  <si>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</si>
  <si>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</si>
  <si>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</si>
  <si>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</si>
  <si>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</si>
  <si>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</si>
  <si>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</si>
  <si>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</si>
  <si>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</si>
  <si>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</si>
  <si>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</si>
  <si>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</si>
  <si>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</si>
  <si>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</si>
  <si>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</si>
  <si>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</si>
  <si>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</si>
  <si>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</si>
  <si>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</si>
  <si>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</si>
  <si>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</si>
  <si>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</si>
  <si>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</si>
  <si>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</si>
  <si>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</si>
  <si>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</si>
  <si>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</si>
  <si>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</si>
  <si>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</si>
  <si>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</si>
  <si>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</si>
  <si>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</si>
  <si>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</si>
  <si>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</si>
  <si>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</si>
  <si>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</si>
  <si>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</si>
  <si>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</si>
  <si>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</si>
  <si>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</si>
  <si>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</si>
  <si>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</si>
  <si>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</si>
  <si>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</si>
  <si>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</si>
  <si>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</si>
  <si>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</si>
  <si>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</si>
  <si>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</si>
  <si>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</si>
  <si>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</si>
  <si>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</si>
  <si>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</si>
  <si>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</si>
  <si>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</si>
  <si>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</si>
  <si>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</si>
  <si>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</si>
  <si>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</si>
  <si>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</si>
  <si>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</si>
  <si>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</si>
  <si>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</si>
  <si>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</si>
  <si>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</si>
  <si>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</si>
  <si>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</si>
  <si>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</si>
  <si>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</si>
  <si>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</si>
  <si>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</si>
  <si>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</si>
  <si>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</si>
  <si>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</si>
  <si>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</si>
  <si>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</si>
  <si>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</si>
  <si>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</si>
  <si>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</si>
  <si>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</si>
  <si>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</si>
  <si>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</si>
  <si>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</si>
  <si>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</si>
  <si>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</si>
  <si>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</si>
  <si>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</si>
  <si>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</si>
  <si>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</si>
  <si>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</si>
  <si>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</si>
  <si>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</si>
  <si>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</si>
  <si>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</si>
  <si>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</si>
  <si>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</si>
  <si>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</si>
  <si>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</si>
  <si>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</si>
  <si>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</si>
  <si>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</si>
  <si>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</si>
  <si>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</si>
  <si>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</si>
  <si>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</si>
  <si>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</si>
  <si>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</si>
  <si>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</si>
  <si>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</si>
  <si>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</si>
  <si>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</si>
  <si>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</si>
  <si>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</si>
  <si>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</si>
  <si>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</si>
  <si>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</si>
  <si>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</si>
  <si>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</si>
  <si>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</si>
  <si>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</si>
  <si>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</si>
  <si>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</si>
  <si>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</si>
  <si>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</si>
  <si>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</si>
  <si>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</si>
  <si>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</si>
  <si>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</si>
  <si>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</si>
  <si>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</si>
  <si>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</si>
  <si>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</si>
  <si>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</si>
  <si>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</si>
  <si>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</si>
  <si>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</si>
  <si>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</si>
  <si>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</si>
  <si>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</si>
  <si>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</si>
  <si>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</si>
  <si>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</si>
  <si>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</si>
  <si>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</si>
  <si>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</si>
  <si>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</si>
  <si>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</si>
  <si>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</si>
  <si>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</si>
  <si>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</si>
  <si>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</si>
  <si>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</si>
  <si>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</si>
  <si>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</si>
  <si>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</si>
  <si>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</si>
  <si>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</si>
  <si>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</si>
  <si>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</si>
  <si>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</si>
  <si>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</si>
  <si>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</si>
  <si>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</si>
  <si>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</si>
  <si>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</si>
  <si>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</si>
  <si>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</si>
  <si>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</si>
  <si>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</si>
  <si>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</si>
  <si>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</si>
  <si>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</si>
  <si>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</si>
  <si>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</si>
  <si>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</si>
  <si>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</si>
  <si>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</si>
  <si>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</si>
  <si>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</si>
  <si>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</si>
  <si>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</si>
  <si>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</si>
  <si>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</si>
  <si>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</si>
  <si>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</si>
  <si>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</si>
  <si>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</si>
  <si>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</si>
  <si>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</si>
  <si>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</si>
  <si>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</si>
  <si>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</si>
  <si>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</si>
  <si>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</si>
  <si>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</si>
  <si>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</si>
  <si>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</si>
  <si>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</si>
  <si>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</si>
  <si>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</si>
  <si>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</si>
  <si>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</si>
  <si>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</si>
  <si>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</si>
  <si>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</si>
  <si>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</si>
  <si>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</si>
  <si>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</si>
  <si>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</si>
  <si>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</si>
  <si>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</si>
  <si>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</si>
  <si>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</si>
  <si>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</si>
  <si>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</si>
  <si>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</si>
  <si>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</si>
  <si>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</si>
  <si>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</si>
  <si>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</si>
  <si>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</si>
  <si>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</si>
  <si>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</si>
  <si>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</si>
  <si>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</si>
  <si>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</si>
  <si>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</si>
  <si>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</si>
  <si>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</si>
  <si>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</si>
  <si>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</si>
  <si>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</si>
  <si>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</si>
  <si>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</si>
  <si>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</si>
  <si>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</si>
  <si>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</si>
  <si>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</si>
  <si>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</si>
  <si>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</si>
  <si>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</si>
  <si>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</si>
  <si>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</si>
  <si>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</si>
  <si>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</si>
  <si>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</si>
  <si>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</si>
  <si>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</si>
  <si>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</si>
  <si>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</si>
  <si>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</si>
  <si>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</si>
  <si>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</si>
  <si>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</si>
  <si>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</si>
  <si>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</si>
  <si>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</si>
  <si>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</si>
  <si>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</si>
  <si>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</si>
  <si>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</si>
  <si>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</si>
  <si>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</si>
  <si>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</si>
  <si>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</si>
  <si>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</si>
  <si>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</si>
  <si>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</si>
  <si>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</si>
  <si>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</si>
  <si>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</si>
  <si>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</si>
  <si>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</si>
  <si>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</si>
  <si>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</si>
  <si>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</si>
  <si>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</si>
  <si>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</si>
  <si>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</si>
  <si>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</si>
  <si>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</si>
  <si>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</si>
  <si>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</si>
  <si>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</si>
  <si>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</si>
  <si>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</si>
  <si>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</si>
  <si>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</si>
  <si>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</si>
  <si>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</si>
  <si>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</si>
  <si>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</si>
  <si>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</si>
  <si>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</si>
  <si>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</si>
  <si>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</si>
  <si>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</si>
  <si>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</si>
  <si>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</si>
  <si>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</si>
  <si>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</si>
  <si>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</si>
  <si>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</si>
  <si>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</si>
  <si>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</si>
  <si>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</si>
  <si>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</si>
  <si>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</si>
  <si>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</si>
  <si>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</si>
  <si>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</si>
  <si>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</si>
  <si>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</si>
  <si>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</si>
  <si>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</si>
  <si>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</si>
  <si>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</si>
  <si>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</si>
  <si>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</si>
  <si>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</si>
  <si>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</si>
  <si>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</si>
  <si>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</si>
  <si>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</si>
  <si>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</si>
  <si>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</si>
  <si>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</si>
  <si>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</si>
  <si>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</si>
  <si>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</si>
  <si>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</si>
  <si>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</si>
  <si>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</si>
  <si>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</si>
  <si>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</si>
  <si>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</si>
  <si>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</si>
  <si>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</si>
  <si>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</si>
  <si>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</si>
  <si>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</si>
  <si>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</si>
  <si>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</si>
  <si>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</si>
  <si>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</si>
  <si>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</si>
  <si>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</si>
  <si>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</si>
  <si>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</si>
  <si>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</si>
  <si>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</si>
  <si>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</si>
  <si>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</si>
  <si>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</si>
  <si>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</si>
  <si>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</si>
  <si>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</si>
  <si>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</si>
  <si>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</si>
  <si>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</si>
  <si>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</si>
  <si>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</si>
  <si>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</si>
  <si>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</si>
  <si>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</si>
  <si>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</si>
  <si>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</si>
  <si>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</si>
  <si>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</si>
  <si>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</si>
  <si>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</si>
  <si>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</si>
  <si>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</si>
  <si>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</si>
  <si>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</si>
  <si>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</si>
  <si>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</si>
  <si>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</si>
  <si>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</si>
  <si>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</si>
  <si>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</si>
  <si>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</si>
  <si>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</si>
  <si>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</si>
  <si>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</si>
  <si>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</si>
  <si>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</si>
  <si>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</si>
  <si>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</si>
  <si>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</si>
  <si>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</si>
  <si>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</si>
  <si>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</si>
  <si>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</si>
  <si>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</si>
  <si>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</si>
  <si>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</si>
  <si>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</si>
  <si>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</si>
  <si>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</si>
  <si>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</si>
  <si>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</si>
  <si>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</si>
  <si>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</si>
  <si>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</si>
  <si>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</si>
  <si>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</si>
  <si>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</si>
  <si>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</si>
  <si>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</si>
  <si>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</si>
  <si>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</si>
  <si>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</si>
  <si>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</si>
  <si>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</si>
  <si>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</si>
  <si>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</si>
  <si>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</si>
  <si>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</si>
  <si>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</si>
  <si>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</si>
  <si>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</si>
  <si>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</si>
  <si>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</si>
  <si>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</si>
  <si>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</si>
  <si>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</si>
  <si>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</si>
  <si>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</si>
  <si>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</si>
  <si>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</si>
  <si>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</si>
  <si>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</si>
  <si>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</si>
  <si>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</si>
  <si>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</si>
  <si>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</si>
  <si>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</si>
  <si>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</si>
  <si>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</si>
  <si>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</si>
  <si>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</si>
  <si>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</si>
  <si>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</si>
  <si>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</si>
  <si>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</si>
  <si>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</si>
  <si>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</si>
  <si>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</si>
  <si>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</si>
  <si>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</si>
  <si>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</si>
  <si>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</si>
  <si>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</si>
  <si>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</si>
  <si>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</si>
  <si>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</si>
  <si>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</si>
  <si>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</si>
  <si>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</si>
  <si>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</si>
  <si>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</si>
  <si>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</si>
  <si>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</si>
  <si>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</si>
  <si>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</si>
  <si>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</si>
  <si>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</si>
  <si>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</si>
  <si>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</si>
  <si>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</si>
  <si>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</si>
  <si>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</si>
  <si>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</si>
  <si>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</si>
  <si>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</si>
  <si>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</si>
  <si>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</si>
  <si>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</si>
  <si>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</si>
  <si>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</si>
  <si>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</si>
  <si>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</si>
  <si>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</si>
  <si>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</si>
  <si>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</si>
  <si>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</si>
  <si>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</si>
  <si>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</si>
  <si>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</si>
  <si>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</si>
  <si>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</si>
  <si>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</si>
  <si>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</si>
  <si>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</si>
  <si>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</si>
  <si>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</si>
  <si>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</si>
  <si>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</si>
  <si>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</si>
  <si>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</si>
  <si>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</si>
  <si>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</si>
  <si>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</si>
  <si>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</si>
  <si>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</si>
  <si>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</si>
  <si>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</si>
  <si>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</si>
  <si>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</si>
  <si>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</si>
  <si>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</si>
  <si>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</si>
  <si>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</si>
  <si>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</si>
  <si>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</si>
  <si>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</si>
  <si>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</si>
  <si>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</si>
  <si>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</si>
  <si>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</si>
  <si>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</si>
  <si>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</si>
  <si>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</si>
  <si>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</si>
  <si>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</si>
  <si>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</si>
  <si>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</si>
  <si>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</si>
  <si>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</si>
  <si>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</si>
  <si>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</si>
  <si>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</si>
  <si>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</si>
  <si>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</si>
  <si>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</si>
  <si>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</si>
  <si>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</si>
  <si>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</si>
  <si>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</si>
  <si>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</si>
  <si>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</si>
  <si>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</si>
  <si>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</si>
  <si>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</si>
  <si>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</si>
  <si>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</si>
  <si>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</si>
  <si>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</si>
  <si>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</si>
  <si>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</si>
  <si>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</si>
  <si>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</si>
  <si>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</si>
  <si>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</si>
  <si>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</si>
  <si>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</si>
  <si>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</si>
  <si>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</si>
  <si>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</si>
  <si>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</si>
  <si>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</si>
  <si>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</si>
  <si>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</si>
  <si>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</si>
  <si>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</si>
  <si>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</si>
  <si>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</si>
  <si>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</si>
  <si>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</si>
  <si>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</si>
  <si>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</si>
  <si>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</si>
  <si>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</si>
  <si>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</si>
  <si>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</si>
  <si>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</si>
  <si>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</si>
  <si>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</si>
  <si>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</si>
  <si>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</si>
  <si>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</si>
  <si>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</si>
  <si>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</si>
  <si>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</si>
  <si>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</si>
  <si>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</si>
  <si>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</si>
  <si>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</si>
  <si>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</si>
  <si>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</si>
  <si>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</si>
  <si>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</si>
  <si>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</si>
  <si>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</si>
  <si>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</si>
  <si>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</si>
  <si>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</si>
  <si>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</si>
  <si>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</si>
  <si>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</si>
  <si>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</si>
  <si>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</si>
  <si>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</si>
  <si>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</si>
  <si>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</si>
  <si>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</si>
  <si>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</si>
  <si>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</si>
  <si>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</si>
  <si>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</si>
  <si>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</si>
  <si>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</si>
  <si>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</si>
  <si>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</si>
  <si>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</si>
  <si>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</si>
  <si>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</si>
  <si>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</si>
  <si>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</si>
  <si>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</si>
  <si>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</si>
  <si>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</si>
  <si>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</si>
  <si>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</si>
  <si>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</si>
  <si>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</si>
  <si>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</si>
  <si>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</si>
  <si>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</si>
  <si>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</si>
  <si>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</si>
  <si>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</si>
  <si>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</si>
  <si>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</si>
  <si>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</si>
  <si>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</si>
  <si>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</si>
  <si>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</si>
  <si>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</si>
  <si>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</si>
  <si>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</si>
  <si>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</si>
  <si>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</si>
  <si>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</si>
  <si>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</si>
  <si>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</si>
  <si>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</si>
  <si>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</si>
  <si>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</si>
  <si>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</si>
  <si>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</si>
  <si>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</si>
  <si>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</si>
  <si>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</si>
  <si>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</si>
  <si>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</si>
  <si>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</si>
  <si>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</si>
  <si>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</si>
  <si>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</si>
  <si>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</si>
  <si>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</si>
  <si>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</si>
  <si>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</si>
  <si>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</si>
  <si>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</si>
  <si>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</si>
  <si>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</si>
  <si>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</si>
  <si>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</si>
  <si>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</si>
  <si>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</si>
  <si>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</si>
  <si>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</si>
  <si>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</si>
  <si>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</si>
  <si>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</si>
  <si>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</si>
  <si>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</si>
  <si>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</si>
  <si>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</si>
  <si>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</si>
  <si>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</si>
  <si>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</si>
  <si>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</si>
  <si>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</si>
  <si>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</si>
  <si>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</si>
  <si>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</si>
  <si>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</si>
  <si>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</si>
  <si>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</si>
  <si>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</si>
  <si>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</si>
  <si>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</si>
  <si>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</si>
  <si>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</si>
  <si>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</si>
  <si>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</si>
  <si>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</si>
  <si>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</si>
  <si>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</si>
  <si>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</si>
  <si>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</si>
  <si>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</si>
  <si>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</si>
  <si>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</si>
  <si>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</si>
  <si>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</si>
  <si>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</si>
  <si>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</si>
  <si>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</si>
  <si>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</si>
  <si>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</si>
  <si>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</si>
  <si>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</si>
  <si>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</si>
  <si>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</si>
  <si>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</si>
  <si>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</si>
  <si>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</si>
  <si>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</si>
  <si>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</si>
  <si>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</si>
  <si>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</si>
  <si>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</si>
  <si>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</si>
  <si>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</si>
  <si>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</si>
  <si>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</si>
  <si>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</si>
  <si>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</si>
  <si>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</si>
  <si>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</si>
  <si>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</si>
  <si>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</si>
  <si>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</si>
  <si>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</si>
  <si>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</si>
  <si>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</si>
  <si>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</si>
  <si>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</si>
  <si>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</si>
  <si>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</si>
  <si>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</si>
  <si>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</si>
  <si>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</si>
  <si>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</si>
  <si>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</si>
  <si>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</si>
  <si>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</si>
  <si>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</si>
  <si>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</si>
  <si>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</si>
  <si>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</si>
  <si>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</si>
  <si>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</si>
  <si>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</si>
  <si>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</si>
  <si>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</si>
  <si>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</si>
  <si>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</si>
  <si>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</si>
  <si>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</si>
  <si>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</si>
  <si>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</si>
  <si>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</si>
  <si>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</si>
  <si>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</si>
  <si>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</si>
  <si>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</si>
  <si>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</si>
  <si>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</si>
  <si>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</si>
  <si>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</si>
  <si>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</si>
  <si>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</si>
  <si>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</si>
  <si>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</si>
  <si>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</si>
  <si>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</si>
  <si>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</si>
  <si>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</si>
  <si>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</si>
  <si>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</si>
  <si>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</si>
  <si>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</si>
  <si>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</si>
  <si>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</si>
  <si>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</si>
  <si>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</si>
  <si>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</si>
  <si>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</si>
  <si>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</si>
  <si>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</si>
  <si>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</si>
  <si>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</si>
  <si>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</si>
  <si>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</si>
  <si>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</si>
  <si>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</si>
  <si>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</si>
  <si>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</si>
  <si>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</si>
  <si>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</si>
  <si>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</si>
  <si>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</si>
  <si>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</si>
  <si>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</si>
  <si>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</si>
  <si>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</si>
  <si>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</si>
  <si>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</si>
  <si>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</si>
  <si>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</si>
  <si>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</si>
  <si>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</si>
  <si>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</si>
  <si>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</si>
  <si>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</si>
  <si>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</si>
  <si>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</si>
  <si>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</si>
  <si>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</si>
  <si>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</si>
  <si>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</si>
  <si>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</si>
  <si>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</si>
  <si>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</si>
  <si>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</si>
  <si>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</si>
  <si>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</si>
  <si>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</si>
  <si>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</si>
  <si>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</si>
  <si>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</si>
  <si>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</si>
  <si>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</si>
  <si>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</si>
  <si>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</si>
  <si>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</si>
  <si>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</si>
  <si>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</si>
  <si>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</si>
  <si>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</si>
  <si>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</si>
  <si>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</si>
  <si>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</si>
  <si>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</si>
  <si>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</si>
  <si>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</si>
  <si>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</si>
  <si>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</si>
  <si>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</si>
  <si>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</si>
  <si>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</si>
  <si>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</si>
  <si>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</si>
  <si>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</si>
  <si>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</si>
  <si>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</si>
  <si>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</si>
  <si>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</si>
  <si>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</si>
  <si>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</si>
  <si>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</si>
  <si>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</si>
  <si>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</si>
  <si>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</si>
  <si>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</si>
  <si>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</si>
  <si>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</si>
  <si>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</si>
  <si>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</si>
  <si>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</si>
  <si>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</si>
  <si>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</si>
  <si>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</si>
  <si>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</si>
  <si>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</si>
  <si>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</si>
  <si>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</si>
  <si>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</si>
  <si>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</si>
  <si>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</si>
  <si>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</si>
  <si>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</si>
  <si>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</si>
  <si>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</si>
  <si>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</si>
  <si>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</si>
  <si>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</si>
  <si>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</si>
  <si>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</si>
  <si>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</si>
  <si>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</si>
  <si>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</si>
  <si>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</si>
  <si>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</si>
  <si>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</si>
  <si>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</si>
  <si>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</si>
  <si>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</si>
  <si>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</si>
  <si>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</si>
  <si>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</si>
  <si>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</si>
  <si>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</si>
  <si>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</si>
  <si>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</si>
  <si>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</si>
  <si>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</si>
  <si>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</si>
  <si>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</si>
  <si>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</si>
  <si>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</si>
  <si>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</si>
  <si>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</si>
  <si>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</si>
  <si>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</si>
  <si>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</si>
  <si>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</si>
  <si>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</si>
  <si>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</si>
  <si>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</si>
  <si>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</si>
  <si>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</si>
  <si>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</si>
  <si>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</si>
  <si>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</si>
  <si>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</si>
  <si>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</si>
  <si>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</si>
  <si>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</si>
  <si>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</si>
  <si>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</si>
  <si>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</si>
  <si>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</si>
  <si>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</si>
  <si>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</si>
  <si>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</si>
  <si>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</si>
  <si>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</si>
  <si>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</si>
  <si>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</si>
  <si>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</si>
  <si>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</si>
  <si>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</si>
  <si>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</si>
  <si>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</si>
  <si>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</si>
  <si>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</si>
  <si>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</si>
  <si>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</si>
  <si>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</si>
  <si>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</si>
  <si>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</si>
  <si>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</si>
  <si>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</si>
  <si>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</si>
  <si>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</si>
  <si>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</si>
  <si>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</si>
  <si>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</si>
  <si>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</si>
  <si>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</si>
  <si>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</si>
  <si>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</si>
  <si>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</si>
  <si>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</si>
  <si>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</si>
  <si>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</si>
  <si>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</si>
  <si>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</si>
  <si>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</si>
  <si>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</si>
  <si>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</si>
  <si>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</si>
  <si>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</si>
  <si>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</si>
  <si>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</si>
  <si>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</si>
  <si>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</si>
  <si>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</si>
  <si>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</si>
  <si>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</si>
  <si>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</si>
  <si>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</si>
  <si>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</si>
  <si>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</si>
  <si>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</si>
  <si>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</si>
  <si>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</si>
  <si>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</si>
  <si>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</si>
  <si>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</si>
  <si>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</si>
  <si>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</si>
  <si>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</si>
  <si>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</si>
  <si>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</si>
  <si>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</si>
  <si>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</si>
  <si>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</si>
  <si>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</si>
  <si>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</si>
  <si>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</si>
  <si>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</si>
  <si>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</si>
  <si>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</si>
  <si>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</si>
  <si>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</si>
  <si>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</si>
  <si>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</si>
  <si>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</si>
  <si>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</si>
  <si>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</si>
  <si>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</si>
  <si>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</si>
  <si>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</si>
  <si>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</si>
  <si>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</si>
  <si>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</si>
  <si>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</si>
  <si>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</si>
  <si>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</si>
  <si>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</si>
  <si>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</si>
  <si>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</si>
  <si>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</si>
  <si>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</si>
  <si>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</si>
  <si>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</si>
  <si>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</si>
  <si>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</si>
  <si>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</si>
  <si>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</si>
  <si>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</si>
  <si>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</si>
  <si>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</si>
  <si>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</si>
  <si>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</si>
  <si>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</si>
  <si>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</si>
  <si>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</si>
  <si>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</si>
  <si>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</si>
  <si>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</si>
  <si>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</si>
  <si>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</si>
  <si>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</si>
  <si>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</si>
  <si>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</si>
  <si>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</si>
  <si>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</si>
  <si>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</si>
  <si>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</si>
  <si>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</si>
  <si>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</si>
  <si>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</si>
  <si>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</si>
  <si>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</si>
  <si>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</si>
  <si>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</si>
  <si>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</si>
  <si>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</si>
  <si>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</si>
  <si>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</si>
  <si>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</si>
  <si>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</si>
  <si>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</si>
  <si>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</si>
  <si>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</si>
  <si>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</si>
  <si>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</si>
  <si>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</si>
  <si>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</si>
  <si>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</si>
  <si>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</si>
  <si>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</si>
  <si>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</si>
  <si>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</si>
  <si>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</si>
  <si>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</si>
  <si>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</si>
  <si>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</si>
  <si>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</si>
  <si>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</si>
  <si>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</si>
  <si>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</si>
  <si>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</si>
  <si>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</si>
  <si>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</si>
  <si>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</si>
  <si>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</si>
  <si>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</si>
  <si>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</si>
  <si>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</si>
  <si>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</si>
  <si>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</si>
  <si>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</si>
  <si>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</si>
  <si>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</si>
  <si>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</si>
  <si>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</si>
  <si>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</si>
  <si>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</si>
  <si>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</si>
  <si>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</si>
  <si>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</si>
  <si>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</si>
  <si>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</si>
  <si>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</si>
  <si>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</si>
  <si>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</si>
  <si>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</si>
  <si>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</si>
  <si>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</si>
  <si>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</si>
  <si>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</si>
  <si>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</si>
  <si>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</si>
  <si>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</si>
  <si>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</si>
  <si>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</si>
  <si>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</si>
  <si>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</si>
  <si>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</si>
  <si>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</si>
  <si>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</si>
  <si>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</si>
  <si>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</si>
  <si>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</si>
  <si>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</si>
  <si>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</si>
  <si>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</si>
  <si>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</si>
  <si>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</si>
  <si>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</si>
  <si>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</si>
  <si>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</si>
  <si>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</si>
  <si>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</si>
  <si>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</si>
  <si>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</si>
  <si>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</si>
  <si>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</si>
  <si>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</si>
  <si>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</si>
  <si>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</si>
  <si>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</si>
  <si>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</si>
  <si>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</si>
  <si>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</si>
  <si>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</si>
  <si>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</si>
  <si>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</si>
  <si>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</si>
  <si>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</si>
  <si>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</si>
  <si>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</si>
  <si>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</si>
  <si>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</si>
  <si>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</si>
  <si>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</si>
  <si>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</si>
  <si>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</si>
  <si>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</si>
  <si>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</si>
  <si>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</si>
  <si>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</si>
  <si>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</si>
  <si>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</si>
  <si>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</si>
  <si>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</si>
  <si>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</si>
  <si>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</si>
  <si>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</si>
  <si>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</si>
  <si>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</si>
  <si>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</si>
  <si>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</si>
  <si>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</si>
  <si>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</si>
  <si>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</si>
  <si>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</si>
  <si>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</si>
  <si>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</si>
  <si>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</si>
  <si>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</si>
  <si>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</si>
  <si>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</si>
  <si>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</si>
  <si>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</si>
  <si>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</si>
  <si>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</si>
  <si>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</si>
  <si>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</si>
  <si>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</si>
  <si>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</si>
  <si>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</si>
  <si>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</si>
  <si>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</si>
  <si>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</si>
  <si>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</si>
  <si>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</si>
  <si>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</si>
  <si>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</si>
  <si>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</si>
  <si>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</si>
  <si>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</si>
  <si>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</si>
  <si>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</si>
  <si>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</si>
  <si>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</si>
  <si>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</si>
  <si>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</si>
  <si>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</si>
  <si>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</si>
  <si>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</si>
  <si>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</si>
  <si>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</si>
  <si>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</si>
  <si>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</si>
  <si>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</si>
  <si>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</si>
  <si>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</si>
  <si>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</si>
  <si>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</si>
  <si>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</si>
  <si>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</si>
  <si>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</si>
  <si>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</si>
  <si>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</si>
  <si>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</si>
  <si>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</si>
  <si>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</si>
  <si>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</si>
  <si>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</si>
  <si>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</si>
  <si>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</si>
  <si>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</si>
  <si>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</si>
  <si>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</si>
  <si>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</si>
  <si>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</si>
  <si>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</si>
  <si>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</si>
  <si>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</si>
  <si>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</si>
  <si>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</si>
  <si>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</si>
  <si>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</si>
  <si>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</si>
  <si>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</si>
  <si>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</si>
  <si>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</si>
  <si>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</si>
  <si>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</si>
  <si>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</si>
  <si>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</si>
  <si>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</si>
  <si>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</si>
  <si>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</si>
  <si>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</si>
  <si>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</si>
  <si>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</si>
  <si>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</si>
  <si>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</si>
  <si>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</si>
  <si>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</si>
  <si>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</si>
  <si>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</si>
  <si>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</si>
  <si>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</si>
  <si>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</si>
  <si>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</si>
  <si>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</si>
  <si>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</si>
  <si>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</si>
  <si>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</si>
  <si>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</si>
  <si>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</si>
  <si>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</si>
  <si>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</si>
  <si>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</si>
  <si>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</si>
  <si>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</si>
  <si>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</si>
  <si>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</si>
  <si>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</si>
  <si>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</si>
  <si>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</si>
  <si>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</si>
  <si>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</si>
  <si>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</si>
  <si>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</si>
  <si>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</si>
  <si>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</si>
  <si>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</si>
  <si>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</si>
  <si>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</si>
  <si>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</si>
  <si>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</si>
  <si>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</si>
  <si>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</si>
  <si>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</si>
  <si>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</si>
  <si>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</si>
  <si>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</si>
  <si>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</si>
  <si>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</si>
  <si>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</si>
  <si>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</si>
  <si>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</si>
  <si>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</si>
  <si>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</si>
  <si>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</si>
  <si>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</si>
  <si>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</si>
  <si>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</si>
  <si>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</si>
  <si>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</si>
  <si>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</si>
  <si>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</si>
  <si>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</si>
  <si>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</si>
  <si>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</si>
  <si>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</si>
  <si>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</si>
  <si>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</si>
  <si>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</si>
  <si>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</si>
  <si>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</si>
  <si>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</si>
  <si>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</si>
  <si>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</si>
  <si>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</si>
  <si>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</si>
  <si>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</si>
  <si>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</si>
  <si>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</si>
  <si>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</si>
  <si>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</si>
  <si>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</si>
  <si>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</si>
  <si>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</si>
  <si>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</si>
  <si>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</si>
  <si>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</si>
  <si>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</si>
  <si>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</si>
  <si>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</si>
  <si>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</si>
  <si>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</si>
  <si>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</si>
  <si>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</si>
  <si>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</si>
  <si>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</si>
  <si>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</si>
  <si>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</si>
  <si>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</si>
  <si>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</si>
  <si>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</si>
  <si>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</si>
  <si>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</si>
  <si>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</si>
  <si>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</si>
  <si>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</si>
  <si>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</si>
  <si>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</si>
  <si>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</si>
  <si>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</si>
  <si>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</si>
  <si>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</si>
  <si>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</si>
  <si>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</si>
  <si>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</si>
  <si>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</si>
  <si>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</si>
  <si>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</si>
  <si>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</si>
  <si>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</si>
  <si>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</si>
  <si>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</si>
  <si>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</si>
  <si>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</si>
  <si>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</si>
  <si>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</si>
  <si>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</si>
  <si>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</si>
  <si>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</si>
  <si>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</si>
  <si>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</si>
  <si>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</si>
  <si>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</si>
  <si>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</si>
  <si>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</si>
  <si>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</si>
  <si>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</si>
  <si>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</si>
  <si>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</si>
  <si>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</si>
  <si>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</si>
  <si>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</si>
  <si>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</si>
  <si>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</si>
  <si>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</si>
  <si>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</si>
  <si>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</si>
  <si>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</si>
  <si>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</si>
  <si>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</si>
  <si>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</si>
  <si>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</si>
  <si>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</si>
  <si>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</si>
  <si>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</si>
  <si>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</si>
  <si>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</si>
  <si>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</si>
  <si>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</si>
  <si>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</si>
  <si>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</si>
  <si>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</si>
  <si>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</si>
  <si>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</si>
  <si>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</si>
  <si>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</si>
  <si>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</si>
  <si>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</si>
  <si>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</si>
  <si>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</si>
  <si>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</si>
  <si>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</si>
  <si>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</si>
  <si>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</si>
  <si>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</si>
  <si>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</si>
  <si>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</si>
  <si>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</si>
  <si>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</si>
  <si>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</si>
  <si>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</si>
  <si>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</si>
  <si>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</si>
  <si>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</si>
  <si>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</si>
  <si>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</si>
  <si>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</si>
  <si>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</si>
  <si>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</si>
  <si>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</si>
  <si>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</si>
  <si>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</si>
  <si>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</si>
  <si>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</si>
  <si>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</si>
  <si>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</si>
  <si>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</si>
  <si>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</si>
  <si>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</si>
  <si>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</si>
  <si>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</si>
  <si>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</si>
  <si>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</si>
  <si>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</si>
  <si>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</si>
  <si>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</si>
  <si>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</si>
  <si>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</si>
  <si>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</si>
  <si>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</si>
  <si>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</si>
  <si>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</si>
  <si>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</si>
  <si>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</si>
  <si>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</si>
  <si>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</si>
  <si>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</si>
  <si>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</si>
  <si>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</si>
  <si>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</si>
  <si>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</si>
  <si>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</si>
  <si>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</si>
  <si>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</si>
  <si>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</si>
  <si>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</si>
  <si>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</si>
  <si>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</si>
  <si>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</si>
  <si>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</si>
  <si>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</si>
  <si>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</si>
  <si>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</si>
  <si>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</si>
  <si>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</si>
  <si>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</si>
  <si>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</si>
  <si>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</si>
  <si>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</si>
  <si>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</si>
  <si>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</si>
  <si>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</si>
  <si>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</si>
  <si>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</si>
  <si>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</si>
  <si>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</si>
  <si>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</si>
  <si>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</si>
  <si>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</si>
  <si>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</si>
  <si>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</si>
  <si>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</si>
  <si>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</si>
  <si>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</si>
  <si>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</si>
  <si>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</si>
  <si>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</si>
  <si>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</si>
  <si>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</si>
  <si>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</si>
  <si>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</si>
  <si>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</si>
  <si>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</si>
  <si>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</si>
  <si>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</si>
  <si>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</si>
  <si>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</si>
  <si>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</si>
  <si>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</si>
  <si>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</si>
  <si>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</si>
  <si>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</si>
  <si>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</si>
  <si>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</si>
  <si>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</si>
  <si>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</si>
  <si>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</si>
  <si>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</si>
  <si>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</si>
  <si>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</si>
  <si>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</si>
  <si>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</si>
  <si>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</si>
  <si>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</si>
  <si>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</si>
  <si>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</si>
  <si>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</si>
  <si>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</si>
  <si>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</si>
  <si>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</si>
  <si>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</si>
  <si>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</si>
  <si>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</si>
  <si>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</si>
  <si>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</si>
  <si>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</si>
  <si>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</si>
  <si>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</si>
  <si>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</si>
  <si>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</si>
  <si>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</si>
  <si>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</si>
  <si>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</si>
  <si>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</si>
  <si>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</si>
  <si>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</si>
  <si>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</si>
  <si>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</si>
  <si>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</si>
  <si>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</si>
  <si>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</si>
  <si>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</si>
  <si>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</si>
  <si>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</si>
  <si>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</si>
  <si>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</si>
  <si>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</si>
  <si>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</si>
  <si>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</si>
  <si>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</si>
  <si>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</si>
  <si>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</si>
  <si>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</si>
  <si>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</si>
  <si>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</si>
  <si>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</si>
  <si>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</si>
  <si>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</si>
  <si>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</si>
  <si>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</si>
  <si>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</si>
  <si>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</si>
  <si>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</si>
  <si>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</si>
  <si>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</si>
  <si>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</si>
  <si>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</si>
  <si>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</si>
  <si>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</si>
  <si>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</si>
  <si>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</si>
  <si>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</si>
  <si>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</si>
  <si>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</si>
  <si>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</si>
  <si>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</si>
  <si>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</si>
  <si>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</si>
  <si>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</si>
  <si>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</si>
  <si>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</si>
  <si>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</si>
  <si>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</si>
  <si>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</si>
  <si>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</si>
  <si>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</si>
  <si>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</si>
  <si>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</si>
  <si>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</si>
  <si>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</si>
  <si>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</si>
  <si>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</si>
  <si>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</si>
  <si>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</si>
  <si>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</si>
  <si>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</si>
  <si>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</si>
  <si>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</si>
  <si>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</si>
  <si>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</si>
  <si>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</si>
  <si>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</si>
  <si>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</si>
  <si>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</si>
  <si>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</si>
  <si>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</si>
  <si>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</si>
  <si>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</si>
  <si>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</si>
  <si>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</si>
  <si>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</si>
  <si>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</si>
  <si>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</si>
  <si>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</si>
  <si>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</si>
  <si>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</si>
  <si>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</si>
  <si>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</si>
  <si>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</si>
  <si>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</si>
  <si>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</si>
  <si>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</si>
  <si>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</si>
  <si>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</si>
  <si>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</si>
  <si>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</si>
  <si>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</si>
  <si>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</si>
  <si>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</si>
  <si>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</si>
  <si>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</si>
  <si>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</si>
  <si>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</si>
  <si>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</si>
  <si>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</si>
  <si>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</si>
  <si>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</si>
  <si>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</si>
  <si>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</si>
  <si>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</si>
  <si>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</si>
  <si>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</si>
  <si>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</si>
  <si>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</si>
  <si>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</si>
  <si>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</si>
  <si>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</si>
  <si>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</si>
  <si>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</si>
  <si>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</si>
  <si>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</si>
  <si>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</si>
  <si>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</si>
  <si>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</si>
  <si>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</si>
  <si>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</si>
  <si>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</si>
  <si>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</si>
  <si>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</si>
  <si>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</si>
  <si>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</si>
  <si>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</si>
  <si>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</si>
  <si>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</si>
  <si>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</si>
  <si>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</si>
  <si>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</si>
  <si>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</si>
  <si>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</si>
  <si>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</si>
  <si>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</si>
  <si>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</si>
  <si>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</si>
  <si>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</si>
  <si>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</si>
  <si>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</si>
  <si>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</si>
  <si>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</si>
  <si>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</si>
  <si>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</si>
  <si>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</si>
  <si>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</si>
  <si>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</si>
  <si>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</si>
  <si>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</si>
  <si>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</si>
  <si>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</si>
  <si>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</si>
  <si>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</si>
  <si>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</si>
  <si>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</si>
  <si>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</si>
  <si>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</si>
  <si>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</si>
  <si>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</si>
  <si>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</si>
  <si>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</si>
  <si>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</si>
  <si>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</si>
  <si>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</si>
  <si>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</si>
  <si>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</si>
  <si>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</si>
  <si>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</si>
  <si>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</si>
  <si>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</si>
  <si>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</si>
  <si>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</si>
  <si>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</si>
  <si>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</si>
  <si>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</si>
  <si>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</si>
  <si>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</si>
  <si>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</si>
  <si>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</si>
  <si>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</si>
  <si>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</si>
  <si>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</si>
  <si>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</si>
  <si>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</si>
  <si>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</si>
  <si>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</si>
  <si>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</si>
  <si>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</si>
  <si>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</si>
  <si>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</si>
  <si>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</si>
  <si>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</si>
  <si>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</si>
  <si>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</si>
  <si>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</si>
  <si>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</si>
  <si>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</si>
  <si>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</si>
  <si>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</si>
  <si>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</si>
  <si>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</si>
  <si>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</si>
  <si>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</si>
  <si>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</si>
  <si>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</si>
  <si>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</si>
  <si>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</si>
  <si>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</si>
  <si>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</si>
  <si>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</si>
  <si>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</si>
  <si>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</si>
  <si>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</si>
  <si>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</si>
  <si>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</si>
  <si>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</si>
  <si>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</si>
  <si>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</si>
  <si>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</si>
  <si>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</si>
  <si>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</si>
  <si>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</si>
  <si>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</si>
  <si>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</si>
  <si>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</si>
  <si>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</si>
  <si>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</si>
  <si>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</si>
  <si>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</si>
  <si>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</si>
  <si>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</si>
  <si>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</si>
  <si>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</si>
  <si>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</si>
  <si>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</si>
  <si>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</si>
  <si>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</si>
  <si>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</si>
  <si>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</si>
  <si>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</si>
  <si>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</si>
  <si>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</si>
  <si>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</si>
  <si>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</si>
  <si>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</si>
  <si>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</si>
  <si>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</si>
  <si>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</si>
  <si>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</si>
  <si>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</si>
  <si>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</si>
  <si>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</si>
  <si>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</si>
  <si>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</si>
  <si>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</si>
  <si>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</si>
  <si>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</si>
  <si>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</si>
  <si>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</si>
  <si>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</si>
  <si>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</si>
  <si>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</si>
  <si>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</si>
  <si>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</si>
  <si>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</si>
  <si>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</si>
  <si>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</si>
  <si>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</si>
  <si>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</si>
  <si>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</si>
  <si>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</si>
  <si>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</si>
  <si>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</si>
  <si>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</si>
  <si>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</si>
  <si>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</si>
  <si>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</si>
  <si>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</si>
  <si>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</si>
  <si>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</si>
  <si>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</si>
  <si>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</si>
  <si>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</si>
  <si>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</si>
  <si>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</si>
  <si>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</si>
  <si>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</si>
  <si>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</si>
  <si>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</si>
  <si>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</si>
  <si>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</si>
  <si>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</si>
  <si>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</si>
  <si>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</si>
  <si>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</si>
  <si>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</si>
  <si>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</si>
  <si>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</si>
  <si>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</si>
  <si>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</si>
  <si>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</si>
  <si>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</si>
  <si>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</si>
  <si>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</si>
  <si>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</si>
  <si>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</si>
  <si>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</si>
  <si>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</si>
  <si>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</si>
  <si>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</si>
  <si>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</si>
  <si>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</si>
  <si>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</si>
  <si>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</si>
  <si>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</si>
  <si>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</si>
  <si>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</si>
  <si>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</si>
  <si>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</si>
  <si>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</si>
  <si>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</si>
  <si>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</si>
  <si>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</si>
  <si>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</si>
  <si>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</si>
  <si>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</si>
  <si>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</si>
  <si>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</si>
  <si>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</si>
  <si>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</si>
  <si>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</si>
  <si>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</si>
  <si>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</si>
  <si>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</si>
  <si>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</si>
  <si>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</si>
  <si>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</si>
  <si>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</si>
  <si>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</si>
  <si>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</si>
  <si>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</si>
  <si>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</si>
  <si>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</si>
  <si>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</si>
  <si>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</si>
  <si>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</si>
  <si>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</si>
  <si>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</si>
  <si>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</si>
  <si>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</si>
  <si>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</si>
  <si>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</si>
  <si>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</si>
  <si>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</si>
  <si>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</si>
  <si>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</si>
  <si>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</si>
  <si>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</si>
  <si>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</si>
  <si>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</si>
  <si>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</si>
  <si>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</si>
  <si>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</si>
  <si>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</si>
  <si>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</si>
  <si>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</si>
  <si>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</si>
  <si>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</si>
  <si>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</si>
  <si>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</si>
  <si>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</si>
  <si>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</si>
  <si>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</si>
  <si>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</si>
  <si>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</si>
  <si>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</si>
  <si>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</si>
  <si>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</si>
  <si>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</si>
  <si>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</si>
  <si>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</si>
  <si>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</si>
  <si>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</si>
  <si>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</si>
  <si>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</si>
  <si>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</si>
  <si>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</si>
  <si>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</si>
  <si>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</si>
  <si>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</si>
  <si>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</si>
  <si>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</si>
  <si>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</si>
  <si>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</si>
  <si>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</si>
  <si>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</si>
  <si>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</si>
  <si>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</si>
  <si>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</si>
  <si>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</si>
  <si>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</si>
  <si>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</si>
  <si>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</si>
  <si>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</si>
  <si>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</si>
  <si>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</si>
  <si>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</si>
  <si>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</si>
  <si>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</si>
  <si>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</si>
  <si>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</si>
  <si>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</si>
  <si>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</si>
  <si>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</si>
  <si>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</si>
  <si>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</si>
  <si>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</si>
  <si>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</si>
  <si>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</si>
  <si>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</si>
  <si>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</si>
  <si>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</si>
  <si>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</si>
  <si>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</si>
  <si>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</si>
  <si>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</si>
  <si>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</si>
  <si>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</si>
  <si>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</si>
  <si>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</si>
  <si>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</si>
  <si>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</si>
  <si>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</si>
  <si>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</si>
  <si>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</si>
  <si>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</si>
  <si>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</si>
  <si>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</si>
  <si>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</si>
  <si>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</si>
  <si>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</si>
  <si>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</si>
  <si>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</si>
  <si>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</si>
  <si>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</si>
  <si>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</si>
  <si>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</si>
  <si>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</si>
  <si>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</si>
  <si>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</si>
  <si>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</si>
  <si>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</si>
  <si>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</si>
  <si>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</si>
  <si>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</si>
  <si>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</si>
  <si>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</si>
  <si>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</si>
  <si>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</si>
  <si>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</si>
  <si>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</si>
  <si>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</si>
  <si>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</si>
  <si>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</si>
  <si>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</si>
  <si>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</si>
  <si>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</si>
  <si>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</si>
  <si>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</si>
  <si>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</si>
  <si>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</si>
  <si>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</si>
  <si>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</si>
  <si>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</si>
  <si>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</si>
  <si>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</si>
  <si>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</si>
  <si>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</si>
  <si>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</si>
  <si>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</si>
  <si>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</si>
  <si>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</si>
  <si>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</si>
  <si>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</si>
  <si>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</si>
  <si>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</si>
  <si>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</si>
  <si>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</si>
  <si>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</si>
  <si>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</si>
  <si>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</si>
  <si>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</si>
  <si>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</si>
  <si>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</si>
  <si>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</si>
  <si>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</si>
  <si>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</si>
  <si>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</si>
  <si>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</si>
  <si>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</si>
  <si>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</si>
  <si>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</si>
  <si>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</si>
  <si>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</si>
  <si>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</si>
  <si>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</si>
  <si>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</si>
  <si>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</si>
  <si>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</si>
  <si>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</si>
  <si>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</si>
  <si>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</si>
  <si>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</si>
  <si>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</si>
  <si>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</si>
  <si>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</si>
  <si>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</si>
  <si>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</si>
  <si>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</si>
  <si>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</si>
  <si>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</si>
  <si>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</si>
  <si>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</si>
  <si>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</si>
  <si>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</si>
  <si>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</si>
  <si>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</si>
  <si>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</si>
  <si>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</si>
  <si>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</si>
  <si>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</si>
  <si>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</si>
  <si>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</si>
  <si>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</si>
  <si>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</si>
  <si>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</si>
  <si>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</si>
  <si>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</si>
  <si>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</si>
  <si>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</si>
  <si>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</si>
  <si>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</si>
  <si>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</si>
  <si>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</si>
  <si>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</si>
  <si>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</si>
  <si>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</si>
  <si>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</si>
  <si>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</si>
  <si>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</si>
  <si>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</si>
  <si>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</si>
  <si>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</si>
  <si>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</si>
  <si>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</si>
  <si>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</si>
  <si>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</si>
  <si>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</si>
  <si>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</si>
  <si>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</si>
  <si>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</si>
  <si>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</si>
  <si>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</si>
  <si>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</si>
  <si>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</si>
  <si>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</si>
  <si>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</si>
  <si>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</si>
  <si>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</si>
  <si>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</si>
  <si>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</si>
  <si>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</si>
  <si>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</si>
  <si>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</si>
  <si>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</si>
  <si>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</si>
  <si>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</si>
  <si>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</si>
  <si>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</si>
  <si>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</si>
  <si>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</si>
  <si>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</si>
  <si>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</si>
  <si>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</si>
  <si>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</si>
  <si>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</si>
  <si>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</si>
  <si>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</si>
  <si>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</si>
  <si>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</si>
  <si>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</si>
  <si>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</si>
  <si>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</si>
  <si>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</si>
  <si>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</si>
  <si>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</si>
  <si>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</si>
  <si>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</si>
  <si>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</si>
  <si>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</si>
  <si>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</si>
  <si>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</si>
  <si>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</si>
  <si>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</si>
  <si>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</si>
  <si>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</si>
  <si>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</si>
  <si>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</si>
  <si>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</si>
  <si>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</si>
  <si>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</si>
  <si>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</si>
  <si>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</si>
  <si>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</si>
  <si>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</si>
  <si>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</si>
  <si>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</si>
  <si>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</si>
  <si>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</si>
  <si>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</si>
  <si>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</si>
  <si>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</si>
  <si>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</si>
  <si>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</si>
  <si>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</si>
  <si>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</si>
  <si>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</si>
  <si>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</si>
  <si>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</si>
  <si>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</si>
  <si>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</si>
  <si>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</si>
  <si>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</si>
  <si>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</si>
  <si>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</si>
  <si>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</si>
  <si>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</si>
  <si>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</si>
  <si>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</si>
  <si>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</si>
  <si>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</si>
  <si>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</si>
  <si>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</si>
  <si>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</si>
  <si>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</si>
  <si>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</si>
  <si>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</si>
  <si>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</si>
  <si>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</si>
  <si>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</si>
  <si>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</si>
  <si>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</si>
  <si>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</si>
  <si>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</si>
  <si>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</si>
  <si>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</si>
  <si>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</si>
  <si>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</si>
  <si>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</si>
  <si>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</si>
  <si>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</si>
  <si>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</si>
  <si>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</si>
  <si>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</si>
  <si>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</si>
  <si>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</si>
  <si>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</si>
  <si>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</si>
  <si>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</si>
  <si>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</si>
  <si>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</si>
  <si>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</si>
  <si>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</si>
  <si>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</si>
  <si>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</si>
  <si>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</si>
  <si>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</si>
  <si>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</si>
  <si>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</si>
  <si>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</si>
  <si>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</si>
  <si>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</si>
  <si>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</si>
  <si>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</si>
  <si>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</si>
  <si>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</si>
  <si>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</si>
  <si>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</si>
  <si>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</si>
  <si>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</si>
  <si>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</si>
  <si>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</si>
  <si>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</si>
  <si>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</si>
  <si>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</si>
  <si>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</si>
  <si>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</si>
  <si>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</si>
  <si>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</si>
  <si>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</si>
  <si>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</si>
  <si>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</si>
  <si>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</si>
  <si>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</si>
  <si>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</si>
  <si>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</si>
  <si>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</si>
  <si>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</si>
  <si>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</si>
  <si>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</si>
  <si>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</si>
  <si>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</si>
  <si>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</si>
  <si>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</si>
  <si>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</si>
  <si>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</si>
  <si>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</si>
  <si>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</si>
  <si>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</si>
  <si>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</si>
  <si>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</si>
  <si>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</si>
  <si>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</si>
  <si>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</si>
  <si>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</si>
  <si>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</si>
  <si>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</si>
  <si>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</si>
  <si>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</si>
  <si>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</si>
  <si>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</si>
  <si>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</si>
  <si>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</si>
  <si>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</si>
  <si>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</si>
  <si>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</si>
  <si>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</si>
  <si>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</si>
  <si>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</si>
  <si>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</si>
  <si>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</si>
  <si>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</si>
  <si>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</si>
  <si>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</si>
  <si>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</si>
  <si>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</si>
  <si>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</si>
  <si>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</si>
  <si>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</si>
  <si>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</si>
  <si>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</si>
  <si>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</si>
  <si>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</si>
  <si>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</si>
  <si>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</si>
  <si>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</si>
  <si>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</si>
  <si>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</si>
  <si>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</si>
  <si>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</si>
  <si>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</si>
  <si>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</si>
  <si>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</si>
  <si>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</si>
  <si>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</si>
  <si>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</si>
  <si>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</si>
  <si>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</si>
  <si>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</si>
  <si>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</si>
  <si>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</si>
  <si>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</si>
  <si>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</si>
  <si>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</si>
  <si>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</si>
  <si>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</si>
  <si>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</si>
  <si>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</si>
  <si>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</si>
  <si>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</si>
  <si>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</si>
  <si>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</si>
  <si>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</si>
  <si>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</si>
  <si>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</si>
  <si>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</si>
  <si>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</si>
  <si>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</si>
  <si>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</si>
  <si>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</si>
  <si>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</si>
  <si>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</si>
  <si>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</si>
  <si>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</si>
  <si>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</si>
  <si>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</si>
  <si>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</si>
  <si>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</si>
  <si>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</si>
  <si>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</si>
  <si>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</si>
  <si>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</si>
  <si>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</si>
  <si>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</si>
  <si>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</si>
  <si>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</si>
  <si>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</si>
  <si>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</si>
  <si>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</si>
  <si>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</si>
  <si>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</si>
  <si>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</si>
  <si>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</si>
  <si>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</si>
  <si>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</si>
  <si>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</si>
  <si>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</si>
  <si>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</si>
  <si>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</si>
  <si>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</si>
  <si>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</si>
  <si>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</si>
  <si>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</si>
  <si>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</si>
  <si>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</si>
  <si>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</si>
  <si>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</si>
  <si>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</si>
  <si>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</si>
  <si>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</si>
  <si>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</si>
  <si>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</si>
  <si>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</si>
  <si>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</si>
  <si>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</si>
  <si>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</si>
  <si>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</si>
  <si>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</si>
  <si>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</si>
  <si>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</si>
  <si>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</si>
  <si>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</si>
  <si>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</si>
  <si>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</si>
  <si>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</si>
  <si>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</si>
  <si>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</si>
  <si>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</si>
  <si>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</si>
  <si>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</si>
  <si>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</si>
  <si>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</si>
  <si>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</si>
  <si>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</si>
  <si>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</si>
  <si>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</si>
  <si>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</si>
  <si>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</si>
  <si>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</si>
  <si>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</si>
  <si>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</si>
  <si>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</si>
  <si>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</si>
  <si>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</si>
  <si>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</si>
  <si>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</si>
  <si>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</si>
  <si>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</si>
  <si>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</si>
  <si>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</si>
  <si>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</si>
  <si>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</si>
  <si>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</si>
  <si>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</si>
  <si>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</si>
  <si>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</si>
  <si>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</si>
  <si>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</si>
  <si>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</si>
  <si>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</si>
  <si>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</si>
  <si>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</si>
  <si>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</si>
  <si>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</si>
  <si>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</si>
  <si>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</si>
  <si>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</si>
  <si>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</si>
  <si>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</si>
  <si>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</si>
  <si>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</si>
  <si>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</si>
  <si>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</si>
  <si>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</si>
  <si>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</si>
  <si>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</si>
  <si>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</si>
  <si>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</si>
  <si>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</si>
  <si>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</si>
  <si>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</si>
  <si>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</si>
  <si>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</si>
  <si>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</si>
  <si>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</si>
  <si>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</si>
  <si>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</si>
  <si>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</si>
  <si>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</si>
  <si>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</si>
  <si>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</si>
  <si>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</si>
  <si>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</si>
  <si>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</si>
  <si>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</si>
  <si>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</si>
  <si>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</si>
  <si>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</si>
  <si>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</si>
  <si>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</si>
  <si>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</si>
  <si>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</si>
  <si>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</si>
  <si>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</si>
  <si>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</si>
  <si>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</si>
  <si>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</si>
  <si>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</si>
  <si>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</si>
  <si>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</si>
  <si>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</si>
  <si>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</si>
  <si>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</si>
  <si>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</si>
  <si>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</si>
  <si>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</si>
  <si>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</si>
  <si>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</si>
  <si>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</si>
  <si>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</si>
  <si>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</si>
  <si>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</si>
  <si>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</si>
  <si>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</si>
  <si>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</si>
  <si>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</si>
  <si>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</si>
  <si>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</si>
  <si>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</si>
  <si>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</si>
  <si>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</si>
  <si>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</si>
  <si>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</si>
  <si>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</si>
  <si>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</si>
  <si>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</si>
  <si>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</si>
  <si>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</si>
  <si>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</si>
  <si>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</si>
  <si>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</si>
  <si>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</si>
  <si>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</si>
  <si>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</si>
  <si>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</si>
  <si>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</si>
  <si>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</si>
  <si>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</si>
  <si>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</si>
  <si>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</si>
  <si>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</si>
  <si>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</si>
  <si>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</si>
  <si>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</si>
  <si>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</si>
  <si>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</si>
  <si>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</si>
  <si>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</si>
  <si>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</si>
  <si>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</si>
  <si>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</si>
  <si>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</si>
  <si>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</si>
  <si>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</si>
  <si>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</si>
  <si>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</si>
  <si>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</si>
  <si>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</si>
  <si>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</si>
  <si>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</si>
  <si>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</si>
  <si>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</si>
  <si>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</si>
  <si>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</si>
  <si>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</si>
  <si>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</si>
  <si>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</si>
  <si>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</si>
  <si>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</si>
  <si>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</si>
  <si>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</si>
  <si>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</si>
  <si>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</si>
  <si>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</si>
  <si>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</si>
  <si>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</si>
  <si>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</si>
  <si>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</si>
  <si>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</si>
  <si>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</si>
  <si>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</si>
  <si>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</si>
  <si>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</si>
  <si>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</si>
  <si>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</si>
  <si>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</si>
  <si>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</si>
  <si>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</si>
  <si>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</si>
  <si>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</si>
  <si>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</si>
  <si>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</si>
  <si>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</si>
  <si>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</si>
  <si>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</si>
  <si>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</si>
  <si>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</si>
  <si>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</si>
  <si>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</si>
  <si>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</si>
  <si>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</si>
  <si>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</si>
  <si>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</si>
  <si>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</si>
  <si>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</si>
  <si>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</si>
  <si>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</si>
  <si>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</si>
  <si>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</si>
  <si>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</si>
  <si>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</si>
  <si>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</si>
  <si>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</si>
  <si>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</si>
  <si>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</si>
  <si>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</si>
  <si>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</si>
  <si>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</si>
  <si>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</si>
  <si>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</si>
  <si>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</si>
  <si>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</si>
  <si>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</si>
  <si>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</si>
  <si>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</si>
  <si>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</si>
  <si>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</si>
  <si>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</si>
  <si>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</si>
  <si>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</si>
  <si>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</si>
  <si>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</si>
  <si>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</si>
  <si>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</si>
  <si>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</si>
  <si>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</si>
  <si>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</si>
  <si>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</si>
  <si>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</si>
  <si>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</si>
  <si>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</si>
  <si>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</si>
  <si>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</si>
  <si>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</si>
  <si>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</si>
  <si>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</si>
  <si>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</si>
  <si>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</si>
  <si>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</si>
  <si>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</si>
  <si>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</si>
  <si>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</si>
  <si>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</si>
  <si>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</si>
  <si>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</si>
  <si>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</si>
  <si>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</si>
  <si>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</si>
  <si>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</si>
  <si>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</si>
  <si>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</si>
  <si>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</si>
  <si>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</si>
  <si>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</si>
  <si>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</si>
  <si>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</si>
  <si>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</si>
  <si>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</si>
  <si>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</si>
  <si>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</si>
  <si>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</si>
  <si>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</si>
  <si>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</si>
  <si>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</si>
  <si>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</si>
  <si>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</si>
  <si>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</si>
  <si>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</si>
  <si>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</si>
  <si>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</si>
  <si>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</si>
  <si>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</si>
  <si>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</si>
  <si>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</si>
  <si>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</si>
  <si>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</si>
  <si>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</si>
  <si>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</si>
  <si>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</si>
  <si>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</si>
  <si>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</si>
  <si>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</si>
  <si>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</si>
  <si>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</si>
  <si>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</si>
  <si>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</si>
  <si>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</si>
  <si>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</si>
  <si>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</si>
  <si>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</si>
  <si>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</si>
  <si>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</si>
  <si>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</si>
  <si>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</si>
  <si>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</si>
  <si>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</si>
  <si>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</si>
  <si>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</si>
  <si>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</si>
  <si>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</si>
  <si>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</si>
  <si>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</si>
  <si>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</si>
  <si>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</si>
  <si>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</si>
  <si>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</si>
  <si>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</si>
  <si>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</si>
  <si>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</si>
  <si>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</si>
  <si>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</si>
  <si>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</si>
  <si>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</si>
  <si>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</si>
  <si>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</si>
  <si>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</si>
  <si>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</si>
  <si>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</si>
  <si>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</si>
  <si>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</si>
  <si>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</si>
  <si>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</si>
  <si>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</si>
  <si>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</si>
  <si>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</si>
  <si>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</si>
  <si>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</si>
  <si>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</si>
  <si>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</si>
  <si>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</si>
  <si>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</si>
  <si>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</si>
  <si>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</si>
  <si>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</si>
  <si>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</si>
  <si>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</si>
  <si>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</si>
  <si>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</si>
  <si>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</si>
  <si>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</si>
  <si>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</si>
  <si>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</si>
  <si>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</si>
  <si>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</si>
  <si>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</si>
  <si>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</si>
  <si>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</si>
  <si>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</si>
  <si>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</si>
  <si>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</si>
  <si>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</si>
  <si>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</si>
  <si>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</si>
  <si>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</si>
  <si>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</si>
  <si>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</si>
  <si>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</si>
  <si>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</si>
  <si>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</si>
  <si>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</si>
  <si>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</si>
  <si>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</si>
  <si>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</si>
  <si>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</si>
  <si>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</si>
  <si>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</si>
  <si>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</si>
  <si>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</si>
  <si>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</si>
  <si>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</si>
  <si>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</si>
  <si>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</si>
  <si>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</si>
  <si>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</si>
  <si>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</si>
  <si>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</si>
  <si>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</si>
  <si>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</si>
  <si>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</si>
  <si>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</si>
  <si>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</si>
  <si>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</si>
  <si>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</si>
  <si>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</si>
  <si>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</si>
  <si>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</si>
  <si>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</si>
  <si>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</si>
  <si>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</si>
  <si>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</si>
  <si>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</si>
  <si>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</si>
  <si>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</si>
  <si>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</si>
  <si>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</si>
  <si>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</si>
  <si>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</si>
  <si>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</si>
  <si>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</si>
  <si>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</si>
  <si>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</si>
  <si>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</si>
  <si>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</si>
  <si>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</si>
  <si>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</si>
  <si>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</si>
  <si>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</si>
  <si>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</si>
  <si>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</si>
  <si>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</si>
  <si>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</si>
  <si>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</si>
  <si>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</si>
  <si>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</si>
  <si>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</si>
  <si>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</si>
  <si>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</si>
  <si>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</si>
  <si>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</si>
  <si>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</si>
  <si>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</si>
  <si>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</si>
  <si>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</si>
  <si>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</si>
  <si>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</si>
  <si>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</si>
  <si>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</si>
  <si>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</si>
  <si>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</si>
  <si>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</si>
  <si>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</si>
  <si>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</si>
  <si>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</si>
  <si>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</si>
  <si>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</si>
  <si>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</si>
  <si>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</si>
  <si>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</si>
  <si>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</si>
  <si>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</si>
  <si>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</si>
  <si>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</si>
  <si>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</si>
  <si>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</si>
  <si>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</si>
  <si>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</si>
  <si>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</si>
  <si>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</si>
  <si>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</si>
  <si>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</si>
  <si>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</si>
  <si>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</si>
  <si>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</si>
  <si>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</si>
  <si>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</si>
  <si>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</si>
  <si>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</si>
  <si>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</si>
  <si>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</si>
  <si>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</si>
  <si>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</si>
  <si>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</si>
  <si>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</si>
  <si>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</si>
  <si>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</si>
  <si>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</si>
  <si>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</si>
  <si>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</si>
  <si>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</si>
  <si>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</si>
  <si>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</si>
  <si>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</si>
  <si>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</si>
  <si>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</si>
  <si>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</si>
  <si>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</si>
  <si>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</si>
  <si>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</si>
  <si>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</si>
  <si>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</si>
  <si>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</si>
  <si>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</si>
  <si>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</si>
  <si>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</si>
  <si>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</si>
  <si>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</si>
  <si>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</si>
  <si>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</si>
  <si>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</si>
  <si>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</si>
  <si>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</si>
  <si>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</si>
  <si>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</si>
  <si>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</si>
  <si>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</si>
  <si>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</si>
  <si>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</si>
  <si>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</si>
  <si>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</si>
  <si>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</si>
  <si>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</si>
  <si>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</si>
  <si>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</si>
  <si>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</si>
  <si>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</si>
  <si>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</si>
  <si>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</si>
  <si>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</si>
  <si>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</si>
  <si>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</si>
  <si>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</si>
  <si>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</si>
  <si>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</si>
  <si>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</si>
  <si>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</si>
  <si>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</si>
  <si>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</si>
  <si>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</si>
  <si>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</si>
  <si>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</si>
  <si>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</si>
  <si>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</si>
  <si>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</si>
  <si>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</si>
  <si>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</si>
  <si>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</si>
  <si>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</si>
  <si>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</si>
  <si>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</si>
  <si>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</si>
  <si>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</si>
  <si>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</si>
  <si>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</si>
  <si>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</si>
  <si>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</si>
  <si>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</si>
  <si>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</si>
  <si>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</si>
  <si>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</si>
  <si>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</si>
  <si>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</si>
  <si>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</si>
  <si>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</si>
  <si>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</si>
  <si>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</si>
  <si>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</si>
  <si>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</si>
  <si>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</si>
  <si>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</si>
  <si>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</si>
  <si>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</si>
  <si>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</si>
  <si>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</si>
  <si>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</si>
  <si>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</si>
  <si>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</si>
  <si>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</si>
  <si>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</si>
  <si>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</si>
  <si>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</si>
  <si>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</si>
  <si>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</si>
  <si>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</si>
  <si>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</si>
  <si>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</si>
  <si>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</si>
  <si>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</si>
  <si>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</si>
  <si>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</si>
  <si>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</si>
  <si>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</si>
  <si>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</si>
  <si>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</si>
  <si>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</si>
  <si>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</si>
  <si>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</si>
  <si>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</si>
  <si>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</si>
  <si>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</si>
  <si>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</si>
  <si>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</si>
  <si>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</si>
  <si>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</si>
  <si>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</si>
  <si>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</si>
  <si>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</si>
  <si>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</si>
  <si>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</si>
  <si>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</si>
  <si>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</si>
  <si>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</si>
  <si>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</si>
  <si>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</si>
  <si>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</si>
  <si>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</si>
  <si>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</si>
  <si>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</si>
  <si>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</si>
  <si>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</si>
  <si>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</si>
  <si>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</si>
  <si>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</si>
  <si>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</si>
  <si>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</si>
  <si>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</si>
  <si>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</si>
  <si>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</si>
  <si>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</si>
  <si>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</si>
  <si>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</si>
  <si>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</si>
  <si>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</si>
  <si>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</si>
  <si>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</si>
  <si>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</si>
  <si>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</si>
  <si>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</si>
  <si>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</si>
  <si>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</si>
  <si>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</si>
  <si>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</si>
  <si>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</si>
  <si>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</si>
  <si>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</si>
  <si>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</si>
  <si>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</si>
  <si>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</si>
  <si>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</si>
  <si>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</si>
  <si>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</si>
  <si>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</si>
  <si>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</si>
  <si>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</si>
  <si>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</si>
  <si>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</si>
  <si>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</si>
  <si>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</si>
  <si>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</si>
  <si>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</si>
  <si>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</si>
  <si>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</si>
  <si>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</si>
  <si>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</si>
  <si>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</si>
  <si>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</si>
  <si>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</si>
  <si>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</si>
  <si>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</si>
  <si>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</si>
  <si>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</si>
  <si>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</si>
  <si>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</si>
  <si>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</si>
  <si>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</si>
  <si>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</si>
  <si>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</si>
  <si>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</si>
  <si>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</si>
  <si>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</si>
  <si>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</si>
  <si>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</si>
  <si>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</si>
  <si>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</si>
  <si>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</si>
  <si>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</si>
  <si>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</si>
  <si>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</si>
  <si>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</si>
  <si>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</si>
  <si>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</si>
  <si>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</si>
  <si>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</si>
  <si>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</si>
  <si>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</si>
  <si>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</si>
  <si>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</si>
  <si>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</si>
  <si>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</si>
  <si>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</si>
  <si>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</si>
  <si>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</si>
  <si>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</si>
  <si>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</si>
  <si>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</si>
  <si>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</si>
  <si>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</si>
  <si>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</si>
  <si>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</si>
  <si>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</si>
  <si>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</si>
  <si>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</si>
  <si>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</si>
  <si>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</si>
  <si>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</si>
  <si>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</si>
  <si>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</si>
  <si>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</si>
  <si>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</si>
  <si>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</si>
  <si>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</si>
  <si>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</si>
  <si>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</si>
  <si>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</si>
  <si>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</si>
  <si>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</si>
  <si>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</si>
  <si>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</si>
  <si>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</si>
  <si>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</si>
  <si>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</si>
  <si>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</si>
  <si>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</si>
  <si>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</si>
  <si>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</si>
  <si>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</si>
  <si>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</si>
  <si>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</si>
  <si>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</si>
  <si>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</si>
  <si>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</si>
  <si>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</si>
  <si>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</si>
  <si>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</si>
  <si>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</si>
  <si>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</si>
  <si>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</si>
  <si>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</si>
  <si>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</si>
  <si>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</si>
  <si>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</si>
  <si>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</si>
  <si>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</si>
  <si>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</si>
  <si>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</si>
  <si>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</si>
  <si>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</si>
  <si>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</si>
  <si>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</si>
  <si>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</si>
  <si>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</si>
  <si>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</si>
  <si>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</si>
  <si>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</si>
  <si>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</si>
  <si>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</si>
  <si>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</si>
  <si>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</si>
  <si>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</si>
  <si>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</si>
  <si>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</si>
  <si>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</si>
  <si>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</si>
  <si>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</si>
  <si>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</si>
  <si>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</si>
  <si>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</si>
  <si>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</si>
  <si>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</si>
  <si>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</si>
  <si>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</si>
  <si>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</si>
  <si>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</si>
  <si>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</si>
  <si>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</si>
  <si>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</si>
  <si>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</si>
  <si>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</si>
  <si>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</si>
  <si>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</si>
  <si>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</si>
  <si>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</si>
  <si>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</si>
  <si>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</si>
  <si>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</si>
  <si>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</si>
  <si>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</si>
  <si>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</si>
  <si>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</si>
  <si>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</si>
  <si>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</si>
  <si>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</si>
  <si>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</si>
  <si>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</si>
  <si>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</si>
  <si>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</si>
  <si>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</si>
  <si>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</si>
  <si>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</si>
  <si>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</si>
  <si>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</si>
  <si>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</si>
  <si>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</si>
  <si>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</si>
  <si>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</si>
  <si>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</si>
  <si>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</si>
  <si>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</si>
  <si>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</si>
  <si>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</si>
  <si>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</si>
  <si>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</si>
  <si>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</si>
  <si>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</si>
  <si>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</si>
  <si>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</si>
  <si>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</si>
  <si>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</si>
  <si>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</si>
  <si>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</si>
  <si>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</si>
  <si>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</si>
  <si>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</si>
  <si>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</si>
  <si>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</si>
  <si>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</si>
  <si>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</si>
  <si>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</si>
  <si>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</si>
  <si>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</si>
  <si>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</si>
  <si>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</si>
  <si>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</si>
  <si>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</si>
  <si>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</si>
  <si>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</si>
  <si>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</si>
  <si>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</si>
  <si>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</si>
  <si>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</si>
  <si>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</si>
  <si>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</si>
  <si>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</si>
  <si>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</si>
  <si>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</si>
  <si>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</si>
  <si>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</si>
  <si>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</si>
  <si>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</si>
  <si>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</si>
  <si>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</si>
  <si>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</si>
  <si>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</si>
  <si>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</si>
  <si>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</si>
  <si>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</si>
  <si>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</si>
  <si>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</si>
  <si>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</si>
  <si>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</si>
  <si>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</si>
  <si>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</si>
  <si>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</si>
  <si>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</si>
  <si>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</si>
  <si>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</si>
  <si>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</si>
  <si>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</si>
  <si>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</si>
  <si>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</si>
  <si>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</si>
  <si>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</si>
  <si>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</si>
  <si>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</si>
  <si>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</si>
  <si>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</si>
  <si>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</si>
  <si>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</si>
  <si>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</si>
  <si>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</si>
  <si>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</si>
  <si>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</si>
  <si>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</si>
  <si>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</si>
  <si>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</si>
  <si>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</si>
  <si>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</si>
  <si>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</si>
  <si>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</si>
  <si>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</si>
  <si>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</si>
  <si>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</si>
  <si>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</si>
  <si>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</si>
  <si>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</si>
  <si>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</si>
  <si>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</si>
  <si>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</si>
  <si>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</si>
  <si>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</si>
  <si>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</si>
  <si>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</si>
  <si>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</si>
  <si>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</si>
  <si>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</si>
  <si>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</si>
  <si>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</si>
  <si>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</si>
  <si>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</si>
  <si>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</si>
  <si>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</si>
  <si>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</si>
  <si>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</si>
  <si>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</si>
  <si>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</si>
  <si>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</si>
  <si>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</si>
  <si>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</si>
  <si>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</si>
  <si>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</si>
  <si>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</si>
  <si>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</si>
  <si>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</si>
  <si>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</si>
  <si>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</si>
  <si>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</si>
  <si>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</si>
  <si>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</si>
  <si>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</si>
  <si>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</si>
  <si>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</si>
  <si>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</si>
  <si>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</si>
  <si>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</si>
  <si>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</si>
  <si>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</si>
  <si>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</si>
  <si>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</si>
  <si>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</si>
  <si>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</si>
  <si>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</si>
  <si>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</si>
  <si>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</si>
  <si>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</si>
  <si>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</si>
  <si>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</si>
  <si>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</si>
  <si>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</si>
  <si>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</si>
  <si>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</si>
  <si>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</si>
  <si>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</si>
  <si>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</si>
  <si>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</si>
  <si>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</si>
  <si>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</si>
  <si>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</si>
  <si>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</si>
  <si>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</si>
  <si>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</si>
  <si>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</si>
  <si>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</si>
  <si>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</si>
  <si>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</si>
  <si>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</si>
  <si>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</si>
  <si>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</si>
  <si>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</si>
  <si>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</si>
  <si>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</si>
  <si>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</si>
  <si>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</si>
  <si>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</si>
  <si>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</si>
  <si>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</si>
  <si>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</si>
  <si>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</si>
  <si>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</si>
  <si>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</si>
  <si>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</si>
  <si>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</si>
  <si>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</si>
  <si>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</si>
  <si>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</si>
  <si>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</si>
  <si>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</si>
  <si>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</si>
  <si>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</si>
  <si>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</si>
  <si>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</si>
  <si>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</si>
  <si>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</si>
  <si>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</si>
  <si>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</si>
  <si>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</si>
  <si>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</si>
  <si>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</si>
  <si>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</si>
  <si>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</si>
  <si>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</si>
  <si>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</si>
  <si>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</si>
  <si>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</si>
  <si>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</si>
  <si>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</si>
  <si>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</si>
  <si>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</si>
  <si>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</si>
  <si>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</si>
  <si>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</si>
  <si>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</si>
  <si>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</si>
  <si>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</si>
  <si>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</si>
  <si>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</si>
  <si>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</si>
  <si>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</si>
  <si>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</si>
  <si>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</si>
  <si>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</si>
  <si>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</si>
  <si>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</si>
  <si>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</si>
  <si>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</si>
  <si>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</si>
  <si>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</si>
  <si>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</si>
  <si>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</si>
  <si>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</si>
  <si>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</si>
  <si>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</si>
  <si>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</si>
  <si>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</si>
  <si>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</si>
  <si>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</si>
  <si>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</si>
  <si>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</si>
  <si>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</si>
  <si>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</si>
  <si>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</si>
  <si>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</si>
  <si>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</si>
  <si>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</si>
  <si>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</si>
  <si>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</si>
  <si>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</si>
  <si>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</si>
  <si>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</si>
  <si>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</si>
  <si>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</si>
  <si>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</si>
  <si>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</si>
  <si>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</si>
  <si>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</si>
  <si>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</si>
  <si>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</si>
  <si>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</si>
  <si>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</si>
  <si>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</si>
  <si>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</si>
  <si>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</si>
  <si>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</si>
  <si>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</si>
  <si>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</si>
  <si>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</si>
  <si>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</si>
  <si>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</si>
  <si>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</si>
  <si>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</si>
  <si>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</si>
  <si>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</si>
  <si>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</si>
  <si>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</si>
  <si>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</si>
  <si>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</si>
  <si>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</si>
  <si>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</si>
  <si>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</si>
  <si>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</si>
  <si>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</si>
  <si>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</si>
  <si>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</si>
  <si>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</si>
  <si>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</si>
  <si>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</si>
  <si>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</si>
  <si>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</si>
  <si>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</si>
  <si>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</si>
  <si>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</si>
  <si>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</si>
  <si>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</si>
  <si>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</si>
  <si>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</si>
  <si>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</si>
  <si>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</si>
  <si>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</si>
  <si>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</si>
  <si>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</si>
  <si>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</si>
  <si>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</si>
  <si>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</si>
  <si>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</si>
  <si>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</si>
  <si>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</si>
  <si>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</si>
  <si>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</si>
  <si>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</si>
  <si>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</si>
  <si>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</si>
  <si>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</si>
  <si>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</si>
  <si>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</si>
  <si>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</si>
  <si>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</si>
  <si>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</si>
  <si>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</si>
  <si>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</si>
  <si>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</si>
  <si>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</si>
  <si>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</si>
  <si>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</si>
  <si>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</si>
  <si>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</si>
  <si>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</si>
  <si>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</si>
  <si>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</si>
  <si>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</si>
  <si>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</si>
  <si>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</si>
  <si>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</si>
  <si>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</si>
  <si>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</si>
  <si>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</si>
  <si>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</si>
  <si>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</si>
  <si>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</si>
  <si>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</si>
  <si>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</si>
  <si>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</si>
  <si>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</si>
  <si>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</si>
  <si>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</si>
  <si>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</si>
  <si>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</si>
  <si>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</si>
  <si>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</si>
  <si>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</si>
  <si>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</si>
  <si>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</si>
  <si>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</si>
  <si>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</si>
  <si>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</si>
  <si>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</si>
  <si>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</si>
  <si>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</si>
  <si>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</si>
  <si>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</si>
  <si>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</si>
  <si>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</si>
  <si>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</si>
  <si>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</si>
  <si>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</si>
  <si>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</si>
  <si>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</si>
  <si>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</si>
  <si>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</si>
  <si>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</si>
  <si>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</si>
  <si>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</si>
  <si>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</si>
  <si>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</si>
  <si>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</si>
  <si>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</si>
  <si>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</si>
  <si>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</si>
  <si>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</si>
  <si>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</si>
  <si>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</si>
  <si>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</si>
  <si>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</si>
  <si>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</si>
  <si>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</si>
  <si>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</si>
  <si>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</si>
  <si>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</si>
  <si>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</si>
  <si>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</si>
  <si>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</si>
  <si>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</si>
  <si>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</si>
  <si>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</si>
  <si>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</si>
  <si>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</si>
  <si>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</si>
  <si>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</si>
  <si>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</si>
  <si>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</si>
  <si>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</si>
  <si>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</si>
  <si>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</si>
  <si>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</si>
  <si>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</si>
  <si>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</si>
  <si>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</si>
  <si>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</si>
  <si>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</si>
  <si>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</si>
  <si>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</si>
  <si>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</si>
  <si>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</si>
  <si>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</si>
  <si>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</si>
  <si>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</si>
  <si>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</si>
  <si>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</si>
  <si>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</si>
  <si>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</si>
  <si>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</si>
  <si>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</si>
  <si>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</si>
  <si>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</si>
  <si>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</si>
  <si>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</si>
  <si>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</si>
  <si>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</si>
  <si>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</si>
  <si>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</si>
  <si>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</si>
  <si>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</si>
  <si>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</si>
  <si>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</si>
  <si>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</si>
  <si>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</si>
  <si>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</si>
  <si>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</si>
  <si>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</si>
  <si>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</si>
  <si>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</si>
  <si>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</si>
  <si>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</si>
  <si>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</si>
  <si>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</si>
  <si>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</si>
  <si>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</si>
  <si>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</si>
  <si>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</si>
  <si>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</si>
  <si>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</si>
  <si>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</si>
  <si>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</si>
  <si>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</si>
  <si>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</si>
  <si>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</si>
  <si>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</si>
  <si>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</si>
  <si>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</si>
  <si>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</si>
  <si>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</si>
  <si>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</si>
  <si>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</si>
  <si>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</si>
  <si>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</si>
  <si>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</si>
  <si>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</si>
  <si>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</si>
  <si>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</si>
  <si>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</si>
  <si>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</si>
  <si>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</si>
  <si>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</si>
  <si>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</si>
  <si>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</si>
  <si>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</si>
  <si>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</si>
  <si>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</si>
  <si>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</si>
  <si>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</si>
  <si>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</si>
  <si>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</si>
  <si>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</si>
  <si>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</si>
  <si>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</si>
  <si>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</si>
  <si>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</si>
  <si>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</si>
  <si>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</si>
  <si>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</si>
  <si>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</si>
  <si>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</si>
  <si>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</si>
  <si>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</si>
  <si>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</si>
  <si>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</si>
  <si>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</si>
  <si>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</si>
  <si>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</si>
  <si>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</si>
  <si>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</si>
  <si>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</si>
  <si>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</si>
  <si>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</si>
  <si>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</si>
  <si>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</si>
  <si>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</si>
  <si>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</si>
  <si>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</si>
  <si>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</si>
  <si>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</si>
  <si>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</si>
  <si>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</si>
  <si>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</si>
  <si>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</si>
  <si>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</si>
  <si>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</si>
  <si>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</si>
  <si>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</si>
  <si>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</si>
  <si>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</si>
  <si>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</si>
  <si>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</si>
  <si>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</si>
  <si>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</si>
  <si>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</si>
  <si>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</si>
  <si>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</si>
  <si>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</si>
  <si>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</si>
  <si>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</si>
  <si>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</si>
  <si>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</si>
  <si>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</si>
  <si>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</si>
  <si>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</si>
  <si>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</si>
  <si>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</si>
  <si>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</si>
  <si>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</si>
  <si>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</si>
  <si>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</si>
  <si>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</si>
  <si>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</si>
  <si>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</si>
  <si>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</si>
  <si>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</si>
  <si>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</si>
  <si>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</si>
  <si>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</si>
  <si>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</si>
  <si>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</si>
  <si>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</si>
  <si>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</si>
  <si>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</si>
  <si>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</si>
  <si>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</si>
  <si>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</si>
  <si>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</si>
  <si>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</si>
  <si>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</si>
  <si>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</si>
  <si>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</si>
  <si>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</si>
  <si>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</si>
  <si>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</si>
  <si>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</si>
  <si>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</si>
  <si>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</si>
  <si>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</si>
  <si>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</si>
  <si>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</si>
  <si>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</si>
  <si>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</si>
  <si>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</si>
  <si>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</si>
  <si>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</si>
  <si>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</si>
  <si>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</si>
  <si>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</si>
  <si>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</si>
  <si>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</si>
  <si>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</si>
  <si>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</si>
  <si>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</si>
  <si>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</si>
  <si>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</si>
  <si>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</si>
  <si>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</si>
  <si>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</si>
  <si>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</si>
  <si>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</si>
  <si>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</si>
  <si>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</si>
  <si>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</si>
  <si>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</si>
  <si>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</si>
  <si>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</si>
  <si>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</si>
  <si>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</si>
  <si>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</si>
  <si>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</si>
  <si>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</si>
  <si>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</si>
  <si>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</si>
  <si>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</si>
  <si>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</si>
  <si>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</si>
  <si>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</si>
  <si>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</si>
  <si>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</si>
  <si>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</si>
  <si>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</si>
  <si>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</si>
  <si>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</si>
  <si>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</si>
  <si>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</si>
  <si>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</si>
  <si>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</si>
  <si>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</si>
  <si>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</si>
  <si>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</si>
  <si>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</si>
  <si>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</si>
  <si>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</si>
  <si>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</si>
  <si>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</si>
  <si>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</si>
  <si>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</si>
  <si>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</si>
  <si>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</si>
  <si>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</si>
  <si>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</si>
  <si>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</si>
  <si>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</si>
  <si>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</si>
  <si>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</si>
  <si>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</si>
  <si>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</si>
  <si>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</si>
  <si>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</si>
  <si>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</si>
  <si>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</si>
  <si>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</si>
  <si>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</si>
  <si>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</si>
  <si>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</si>
  <si>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</si>
  <si>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</si>
  <si>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</si>
  <si>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</si>
  <si>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</si>
  <si>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</si>
  <si>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</si>
  <si>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</si>
  <si>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</si>
  <si>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</si>
  <si>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</si>
  <si>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</si>
  <si>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</si>
  <si>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</si>
  <si>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</si>
  <si>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</si>
  <si>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</si>
  <si>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</si>
  <si>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</si>
  <si>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</si>
  <si>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</si>
  <si>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</si>
  <si>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</si>
  <si>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</si>
  <si>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</si>
  <si>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</si>
  <si>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</si>
  <si>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</si>
  <si>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</si>
  <si>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</si>
  <si>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</si>
  <si>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</si>
  <si>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</si>
  <si>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</si>
  <si>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</si>
  <si>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</si>
  <si>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</si>
  <si>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</si>
  <si>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</si>
  <si>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</si>
  <si>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</si>
  <si>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</si>
  <si>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</si>
  <si>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</si>
  <si>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</si>
  <si>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</si>
  <si>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</si>
  <si>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</si>
  <si>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</si>
  <si>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</si>
  <si>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</si>
  <si>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</si>
  <si>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</si>
  <si>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</si>
  <si>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</si>
  <si>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</si>
  <si>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</si>
  <si>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</si>
  <si>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</si>
  <si>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</si>
  <si>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</si>
  <si>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</si>
  <si>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</si>
  <si>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</si>
  <si>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</si>
  <si>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</si>
  <si>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</si>
  <si>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</si>
  <si>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</si>
  <si>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</si>
  <si>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</si>
  <si>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</si>
  <si>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</si>
  <si>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</si>
  <si>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</si>
  <si>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</si>
  <si>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</si>
  <si>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</si>
  <si>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</si>
  <si>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</si>
  <si>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</si>
  <si>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</si>
  <si>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</si>
  <si>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</si>
  <si>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</si>
  <si>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</si>
  <si>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</si>
  <si>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</si>
  <si>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</si>
  <si>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</si>
  <si>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</si>
  <si>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</si>
  <si>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</si>
  <si>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</si>
  <si>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</si>
  <si>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</si>
  <si>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</si>
  <si>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</si>
  <si>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</si>
  <si>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</si>
  <si>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</si>
  <si>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</si>
  <si>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</si>
  <si>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</si>
  <si>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</si>
  <si>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</si>
  <si>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</si>
  <si>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</si>
  <si>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</si>
  <si>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</si>
  <si>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</si>
  <si>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</si>
  <si>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</si>
  <si>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</si>
  <si>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</si>
  <si>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</si>
  <si>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</si>
  <si>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</si>
  <si>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</si>
  <si>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</si>
  <si>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</si>
  <si>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</si>
  <si>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</si>
  <si>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</si>
  <si>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</si>
  <si>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</si>
  <si>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</si>
  <si>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</si>
  <si>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</si>
  <si>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</si>
  <si>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</si>
  <si>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</si>
  <si>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</si>
  <si>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</si>
  <si>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</si>
  <si>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</si>
  <si>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</si>
  <si>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</si>
  <si>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</si>
  <si>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</si>
  <si>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</si>
  <si>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</si>
  <si>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</si>
  <si>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</si>
  <si>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</si>
  <si>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</si>
  <si>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</si>
  <si>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</si>
  <si>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</si>
  <si>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</si>
  <si>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</si>
  <si>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</si>
  <si>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</si>
  <si>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</si>
  <si>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</si>
  <si>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</si>
  <si>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</si>
  <si>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</si>
  <si>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</si>
  <si>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</si>
  <si>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</si>
  <si>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</si>
  <si>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</si>
  <si>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</si>
  <si>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</si>
  <si>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</si>
  <si>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</si>
  <si>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</si>
  <si>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</si>
  <si>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</si>
  <si>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</si>
  <si>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</si>
  <si>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</si>
  <si>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</si>
  <si>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</si>
  <si>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</si>
  <si>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</si>
  <si>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</si>
  <si>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</si>
  <si>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</si>
  <si>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</si>
  <si>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</si>
  <si>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</si>
  <si>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</si>
  <si>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</si>
  <si>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</si>
  <si>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</si>
  <si>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</si>
  <si>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</si>
  <si>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</si>
  <si>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</si>
  <si>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</si>
  <si>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</si>
  <si>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</si>
  <si>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</si>
  <si>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</si>
  <si>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</si>
  <si>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</si>
  <si>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</si>
  <si>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</si>
  <si>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</si>
  <si>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</si>
  <si>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</si>
  <si>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</si>
  <si>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</si>
  <si>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</si>
  <si>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</si>
  <si>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</si>
  <si>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</si>
  <si>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</si>
  <si>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</si>
  <si>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</si>
  <si>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</si>
  <si>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</si>
  <si>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</si>
  <si>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</si>
  <si>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</si>
  <si>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</si>
  <si>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</si>
  <si>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</si>
  <si>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</si>
  <si>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</si>
  <si>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</si>
  <si>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</si>
  <si>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</si>
  <si>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</si>
  <si>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</si>
  <si>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</si>
  <si>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</si>
  <si>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</si>
  <si>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</si>
  <si>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</si>
  <si>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</si>
  <si>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</si>
  <si>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</si>
  <si>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</si>
  <si>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</si>
  <si>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</si>
  <si>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</si>
  <si>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</si>
  <si>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</si>
  <si>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</si>
  <si>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</si>
  <si>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</si>
  <si>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</si>
  <si>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</si>
  <si>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</si>
  <si>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</si>
  <si>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</si>
  <si>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</si>
  <si>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</si>
  <si>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</si>
  <si>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</si>
  <si>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</si>
  <si>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</si>
  <si>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</si>
  <si>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</si>
  <si>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</si>
  <si>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</si>
  <si>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</si>
  <si>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</si>
  <si>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</si>
  <si>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</si>
  <si>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</si>
  <si>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</si>
  <si>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</si>
  <si>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</si>
  <si>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</si>
  <si>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</si>
  <si>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</si>
  <si>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</si>
  <si>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</si>
  <si>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</si>
  <si>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</si>
  <si>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</si>
  <si>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</si>
  <si>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</si>
  <si>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</si>
  <si>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</si>
  <si>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</si>
  <si>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</si>
  <si>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</si>
  <si>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</si>
  <si>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</si>
  <si>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</si>
  <si>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</si>
  <si>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</si>
  <si>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</si>
  <si>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</si>
  <si>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</si>
  <si>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</si>
  <si>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</si>
  <si>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</si>
  <si>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</si>
  <si>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</si>
  <si>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</si>
  <si>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</si>
  <si>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</si>
  <si>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</si>
  <si>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</si>
  <si>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</si>
  <si>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</si>
  <si>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</si>
  <si>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</si>
  <si>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</si>
  <si>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</si>
  <si>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</si>
  <si>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</si>
  <si>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</si>
  <si>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</si>
  <si>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</si>
  <si>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</si>
  <si>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</si>
  <si>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</si>
  <si>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</si>
  <si>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</si>
  <si>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</si>
  <si>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</si>
  <si>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</si>
  <si>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</si>
  <si>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</si>
  <si>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</si>
  <si>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</si>
  <si>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</si>
  <si>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</si>
  <si>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</si>
  <si>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</si>
  <si>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</si>
  <si>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</si>
  <si>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</si>
  <si>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</si>
  <si>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</si>
  <si>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</si>
  <si>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</si>
  <si>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</si>
  <si>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</si>
  <si>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</si>
  <si>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</si>
  <si>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</si>
  <si>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</si>
  <si>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</si>
  <si>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</si>
  <si>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</si>
  <si>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</si>
  <si>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</si>
  <si>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</si>
  <si>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</si>
  <si>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</si>
  <si>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</si>
  <si>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</si>
  <si>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</si>
  <si>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</si>
  <si>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</si>
  <si>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</si>
  <si>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</si>
  <si>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</si>
  <si>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</si>
  <si>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</si>
  <si>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</si>
  <si>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</si>
  <si>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</si>
  <si>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</si>
  <si>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</si>
  <si>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</si>
  <si>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</si>
  <si>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</si>
  <si>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</si>
  <si>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</si>
  <si>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</si>
  <si>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</si>
  <si>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</si>
  <si>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</si>
  <si>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</si>
  <si>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</si>
  <si>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</si>
  <si>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</si>
  <si>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</si>
  <si>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</si>
  <si>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</si>
  <si>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</si>
  <si>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</si>
  <si>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</si>
  <si>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</si>
  <si>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</si>
  <si>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</si>
  <si>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</si>
  <si>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</si>
  <si>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</si>
  <si>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</si>
  <si>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</si>
  <si>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</si>
  <si>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</si>
  <si>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</si>
  <si>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</si>
  <si>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</si>
  <si>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</si>
  <si>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</si>
  <si>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</si>
  <si>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</si>
  <si>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</si>
  <si>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</si>
  <si>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</si>
  <si>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</si>
  <si>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</si>
  <si>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</si>
  <si>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</si>
  <si>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</si>
  <si>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</si>
  <si>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</si>
  <si>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</si>
  <si>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</si>
  <si>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</si>
  <si>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</si>
  <si>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</si>
  <si>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</si>
  <si>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</si>
  <si>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</si>
  <si>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</si>
  <si>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</si>
  <si>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</si>
  <si>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</si>
  <si>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</si>
  <si>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</si>
  <si>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</si>
  <si>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</si>
  <si>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</si>
  <si>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</si>
  <si>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</si>
  <si>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</si>
  <si>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</si>
  <si>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</si>
  <si>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</si>
  <si>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</si>
  <si>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</si>
  <si>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</si>
  <si>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</si>
  <si>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</si>
  <si>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</si>
  <si>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</si>
  <si>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</si>
  <si>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</si>
  <si>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</si>
  <si>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</si>
  <si>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</si>
  <si>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</si>
  <si>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</si>
  <si>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</si>
  <si>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</si>
  <si>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</si>
  <si>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</si>
  <si>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</si>
  <si>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</si>
  <si>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</si>
  <si>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</si>
  <si>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</si>
  <si>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</si>
  <si>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</si>
  <si>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</si>
  <si>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</si>
  <si>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</si>
  <si>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</si>
  <si>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</si>
  <si>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</si>
  <si>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</si>
  <si>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</si>
  <si>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</si>
  <si>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</si>
  <si>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</si>
  <si>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</si>
  <si>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</si>
  <si>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</si>
  <si>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</si>
  <si>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</si>
  <si>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</si>
  <si>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</si>
  <si>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</si>
  <si>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</si>
  <si>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</si>
  <si>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</si>
  <si>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</si>
  <si>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</si>
  <si>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</si>
  <si>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</si>
  <si>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</si>
  <si>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</si>
  <si>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</si>
  <si>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</si>
  <si>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</si>
  <si>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</si>
  <si>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</si>
  <si>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</si>
  <si>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</si>
  <si>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</si>
  <si>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</si>
  <si>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</si>
  <si>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</si>
  <si>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</si>
  <si>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</si>
  <si>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</si>
  <si>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</si>
  <si>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</si>
  <si>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</si>
  <si>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</si>
  <si>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</si>
  <si>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</si>
  <si>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</si>
  <si>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</si>
  <si>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</si>
  <si>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</si>
  <si>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</si>
  <si>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</si>
  <si>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</si>
  <si>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</si>
  <si>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</si>
  <si>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</si>
  <si>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</si>
  <si>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</si>
  <si>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</si>
  <si>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</si>
  <si>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</si>
  <si>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</si>
  <si>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</si>
  <si>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</si>
  <si>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</si>
  <si>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</si>
  <si>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</si>
  <si>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</si>
  <si>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</si>
  <si>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</si>
  <si>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</si>
  <si>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</si>
  <si>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</si>
  <si>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</si>
  <si>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</si>
  <si>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</si>
  <si>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</si>
  <si>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</si>
  <si>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</si>
  <si>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</si>
  <si>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</si>
  <si>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</si>
  <si>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</si>
  <si>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</si>
  <si>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</si>
  <si>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</si>
  <si>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</si>
  <si>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</si>
  <si>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</si>
  <si>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</si>
  <si>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</si>
  <si>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</si>
  <si>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</si>
  <si>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</si>
  <si>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</si>
  <si>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</si>
  <si>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</si>
  <si>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</si>
  <si>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</si>
  <si>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</si>
  <si>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</si>
  <si>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</si>
  <si>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</si>
  <si>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</si>
  <si>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</si>
  <si>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</si>
  <si>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</si>
  <si>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</si>
  <si>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</si>
  <si>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</si>
  <si>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</si>
  <si>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</si>
  <si>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</si>
  <si>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</si>
  <si>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</si>
  <si>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</si>
  <si>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</si>
  <si>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</si>
  <si>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</si>
  <si>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</si>
  <si>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</si>
  <si>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</si>
  <si>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</si>
  <si>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</si>
  <si>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</si>
  <si>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</si>
  <si>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</si>
  <si>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</si>
  <si>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</si>
  <si>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</si>
  <si>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</si>
  <si>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</si>
  <si>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</si>
  <si>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</si>
  <si>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</si>
  <si>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</si>
  <si>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</si>
  <si>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</si>
  <si>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</si>
  <si>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</si>
  <si>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</si>
  <si>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</si>
  <si>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</si>
  <si>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</si>
  <si>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</si>
  <si>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</si>
  <si>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</si>
  <si>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</si>
  <si>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</si>
  <si>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</si>
  <si>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</si>
  <si>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</si>
  <si>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</si>
  <si>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</si>
  <si>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</si>
  <si>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</si>
  <si>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</si>
  <si>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</si>
  <si>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</si>
  <si>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</si>
  <si>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</si>
  <si>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</si>
  <si>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</si>
  <si>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</si>
  <si>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</si>
  <si>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</si>
  <si>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</si>
  <si>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</si>
  <si>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</si>
  <si>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</si>
  <si>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</si>
  <si>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</si>
  <si>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</si>
  <si>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</si>
  <si>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</si>
  <si>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</si>
  <si>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</si>
  <si>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</si>
  <si>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</si>
  <si>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</si>
  <si>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</si>
  <si>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</si>
  <si>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</si>
  <si>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</si>
  <si>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</si>
  <si>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</si>
  <si>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</si>
  <si>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</si>
  <si>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</si>
  <si>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</si>
  <si>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</si>
  <si>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</si>
  <si>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</si>
  <si>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</si>
  <si>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</si>
  <si>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</si>
  <si>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</si>
  <si>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</si>
  <si>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</si>
  <si>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</si>
  <si>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</si>
  <si>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</si>
  <si>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</si>
  <si>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</si>
  <si>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</si>
  <si>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</si>
  <si>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</si>
  <si>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</si>
  <si>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</si>
  <si>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</si>
  <si>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</si>
  <si>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</si>
  <si>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</si>
  <si>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</si>
  <si>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</si>
  <si>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</si>
  <si>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</si>
  <si>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</si>
  <si>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</si>
  <si>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</si>
  <si>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</si>
  <si>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</si>
  <si>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</si>
  <si>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</si>
  <si>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</si>
  <si>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</si>
  <si>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</si>
  <si>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</si>
  <si>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</si>
  <si>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</si>
  <si>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</si>
  <si>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</si>
  <si>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</si>
  <si>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</si>
  <si>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</si>
  <si>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</si>
  <si>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</si>
  <si>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</si>
  <si>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</si>
  <si>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</si>
  <si>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</si>
  <si>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</si>
  <si>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</si>
  <si>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</si>
  <si>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</si>
  <si>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</si>
  <si>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</si>
  <si>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</si>
  <si>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</si>
  <si>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</si>
  <si>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</si>
  <si>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</si>
  <si>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</si>
  <si>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</si>
  <si>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</si>
  <si>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</si>
  <si>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</si>
  <si>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</si>
  <si>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</si>
  <si>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</si>
  <si>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</si>
  <si>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</si>
  <si>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</si>
  <si>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</si>
  <si>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</si>
  <si>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</si>
  <si>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</si>
  <si>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</si>
  <si>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</si>
  <si>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</si>
  <si>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</si>
  <si>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</si>
  <si>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</si>
  <si>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</si>
  <si>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</si>
  <si>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</si>
  <si>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</si>
  <si>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</si>
  <si>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</si>
  <si>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</si>
  <si>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</si>
  <si>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</si>
  <si>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</si>
  <si>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</si>
  <si>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</si>
  <si>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</si>
  <si>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</si>
  <si>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</si>
  <si>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</si>
  <si>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</si>
  <si>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</si>
  <si>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</si>
  <si>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</si>
  <si>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</si>
  <si>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</si>
  <si>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</si>
  <si>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</si>
  <si>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</si>
  <si>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</si>
  <si>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</si>
  <si>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</si>
  <si>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</si>
  <si>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</si>
  <si>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</si>
  <si>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</si>
  <si>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</si>
  <si>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</si>
  <si>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</si>
  <si>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</si>
  <si>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</si>
  <si>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</si>
  <si>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</si>
  <si>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</si>
  <si>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</si>
  <si>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</si>
  <si>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</si>
  <si>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</si>
  <si>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</si>
  <si>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</si>
  <si>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</si>
  <si>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</si>
  <si>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</si>
  <si>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</si>
  <si>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</si>
  <si>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</si>
  <si>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</si>
  <si>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</si>
  <si>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</si>
  <si>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</si>
  <si>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</si>
  <si>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</si>
  <si>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</si>
  <si>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</si>
  <si>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</si>
  <si>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</si>
  <si>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</si>
  <si>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</si>
  <si>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</si>
  <si>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</si>
  <si>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</si>
  <si>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</si>
  <si>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</si>
  <si>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</si>
  <si>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</si>
  <si>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</si>
  <si>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</si>
  <si>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</si>
  <si>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</si>
  <si>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</si>
  <si>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</si>
  <si>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</si>
  <si>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</si>
  <si>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</si>
  <si>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</si>
  <si>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</si>
  <si>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</si>
  <si>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</si>
  <si>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</si>
  <si>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</si>
  <si>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</si>
  <si>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</si>
  <si>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</si>
  <si>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</si>
  <si>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</si>
  <si>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</si>
  <si>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</si>
  <si>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</si>
  <si>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</si>
  <si>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</si>
  <si>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</si>
  <si>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</si>
  <si>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</si>
  <si>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</si>
  <si>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</si>
  <si>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</si>
  <si>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</si>
  <si>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</si>
  <si>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</si>
  <si>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</si>
  <si>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</si>
  <si>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</si>
  <si>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</si>
  <si>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</si>
  <si>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</si>
  <si>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</si>
  <si>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</si>
  <si>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</si>
  <si>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</si>
  <si>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</si>
  <si>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</si>
  <si>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</si>
  <si>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</si>
  <si>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</si>
  <si>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</si>
  <si>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</si>
  <si>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</si>
  <si>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</si>
  <si>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</si>
  <si>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</si>
  <si>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</si>
  <si>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</si>
  <si>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</si>
  <si>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</si>
  <si>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</si>
  <si>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</si>
  <si>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</si>
  <si>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</si>
  <si>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</si>
  <si>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</si>
  <si>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</si>
  <si>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</si>
  <si>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</si>
  <si>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</si>
  <si>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</si>
  <si>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</si>
  <si>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</si>
  <si>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</si>
  <si>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</si>
  <si>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</si>
  <si>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</si>
  <si>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</si>
  <si>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</si>
  <si>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</si>
  <si>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</si>
  <si>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</si>
  <si>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</si>
  <si>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</si>
  <si>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</si>
  <si>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</si>
  <si>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</si>
  <si>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</si>
  <si>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</si>
  <si>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</si>
  <si>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</si>
  <si>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</si>
  <si>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</si>
  <si>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</si>
  <si>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</si>
  <si>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</si>
  <si>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</si>
  <si>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</si>
  <si>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</si>
  <si>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</si>
  <si>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</si>
  <si>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</si>
  <si>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</si>
  <si>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</si>
  <si>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</si>
  <si>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</si>
  <si>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</si>
  <si>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</si>
  <si>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</si>
  <si>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</si>
  <si>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</si>
  <si>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</si>
  <si>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</si>
  <si>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</si>
  <si>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</si>
  <si>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</si>
  <si>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</si>
  <si>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</si>
  <si>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</si>
  <si>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</si>
  <si>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</si>
  <si>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</si>
  <si>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</si>
  <si>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</si>
  <si>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</si>
  <si>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</si>
  <si>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</si>
  <si>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</si>
  <si>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</si>
  <si>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</si>
  <si>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</si>
  <si>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</si>
  <si>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</si>
  <si>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</si>
  <si>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</si>
  <si>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</si>
  <si>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</si>
  <si>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</si>
  <si>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</si>
  <si>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</si>
  <si>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</si>
  <si>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</si>
  <si>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</si>
  <si>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</si>
  <si>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</si>
  <si>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</si>
  <si>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</si>
  <si>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</si>
  <si>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</si>
  <si>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</si>
  <si>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</si>
  <si>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</si>
  <si>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</si>
  <si>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</si>
  <si>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</si>
  <si>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</si>
  <si>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</si>
  <si>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</si>
  <si>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</si>
  <si>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</si>
  <si>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</si>
  <si>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</si>
  <si>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</si>
  <si>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</si>
  <si>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</si>
  <si>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</si>
  <si>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</si>
  <si>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</si>
  <si>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</si>
  <si>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</si>
  <si>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</si>
  <si>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</si>
  <si>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</si>
  <si>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</si>
  <si>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</si>
  <si>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</si>
  <si>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</si>
  <si>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</si>
  <si>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</si>
  <si>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</si>
  <si>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</si>
  <si>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</si>
  <si>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</si>
  <si>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</si>
  <si>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</si>
  <si>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</si>
  <si>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</si>
  <si>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</si>
  <si>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</si>
  <si>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</si>
  <si>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</si>
  <si>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</si>
  <si>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</si>
  <si>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</si>
  <si>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</si>
  <si>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</si>
  <si>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</si>
  <si>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</si>
  <si>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</si>
  <si>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</si>
  <si>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</si>
  <si>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</si>
  <si>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</si>
  <si>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</si>
  <si>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</si>
  <si>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</si>
  <si>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</si>
  <si>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</si>
  <si>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</si>
  <si>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</si>
  <si>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</si>
  <si>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</si>
  <si>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</si>
  <si>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</si>
  <si>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</si>
  <si>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</si>
  <si>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</si>
  <si>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</si>
  <si>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</si>
  <si>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</si>
  <si>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</si>
  <si>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</si>
  <si>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</si>
  <si>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</si>
  <si>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</si>
  <si>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</si>
  <si>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</si>
  <si>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</si>
  <si>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</si>
  <si>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</si>
  <si>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</si>
  <si>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</si>
  <si>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</si>
  <si>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</si>
  <si>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</si>
  <si>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</si>
  <si>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</si>
  <si>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</si>
  <si>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</si>
  <si>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</si>
  <si>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</si>
  <si>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</si>
  <si>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</si>
  <si>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</si>
  <si>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</si>
  <si>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</si>
  <si>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</si>
  <si>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</si>
  <si>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</si>
  <si>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</si>
  <si>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</si>
  <si>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</si>
  <si>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</si>
  <si>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</si>
  <si>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</si>
  <si>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</si>
  <si>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</si>
  <si>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</si>
  <si>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</si>
  <si>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</si>
  <si>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</si>
  <si>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</si>
  <si>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</si>
  <si>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</si>
  <si>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</si>
  <si>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</si>
  <si>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</si>
  <si>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</si>
  <si>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</si>
  <si>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</si>
  <si>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</si>
  <si>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</si>
  <si>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</si>
  <si>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</si>
  <si>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</si>
  <si>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</si>
  <si>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</si>
  <si>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</si>
  <si>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</si>
  <si>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</si>
  <si>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</si>
  <si>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</si>
  <si>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</si>
  <si>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</si>
  <si>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</si>
  <si>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</si>
  <si>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</si>
  <si>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</si>
  <si>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</si>
  <si>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</si>
  <si>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</si>
  <si>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</si>
  <si>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</si>
  <si>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</si>
  <si>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</si>
  <si>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</si>
  <si>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</si>
  <si>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</si>
  <si>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</si>
  <si>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</si>
  <si>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</si>
  <si>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</si>
  <si>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</si>
  <si>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</si>
  <si>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</si>
  <si>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</si>
  <si>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</si>
  <si>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</si>
  <si>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</si>
  <si>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</si>
  <si>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</si>
  <si>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</si>
  <si>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</si>
  <si>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</si>
  <si>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</si>
  <si>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</si>
  <si>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</si>
  <si>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</si>
  <si>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</si>
  <si>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</si>
  <si>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</si>
  <si>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</si>
  <si>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</si>
  <si>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</si>
  <si>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</si>
  <si>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</si>
  <si>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</si>
  <si>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</si>
  <si>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</si>
  <si>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</si>
  <si>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</si>
  <si>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</si>
  <si>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</si>
  <si>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</si>
  <si>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</si>
  <si>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</si>
  <si>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</si>
  <si>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</si>
  <si>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</si>
  <si>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</si>
  <si>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</si>
  <si>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</si>
  <si>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</si>
  <si>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</si>
  <si>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</si>
  <si>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</si>
  <si>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</si>
  <si>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</si>
  <si>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</si>
  <si>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</si>
  <si>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</si>
  <si>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</si>
  <si>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</si>
  <si>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</si>
  <si>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</si>
  <si>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</si>
  <si>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</si>
  <si>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</si>
  <si>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</si>
  <si>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</si>
  <si>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</si>
  <si>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</si>
  <si>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</si>
  <si>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</si>
  <si>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</si>
  <si>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</si>
  <si>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</si>
  <si>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</si>
  <si>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</si>
  <si>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</si>
  <si>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</si>
  <si>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</si>
  <si>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</si>
  <si>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</si>
  <si>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</si>
  <si>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</si>
  <si>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</si>
  <si>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</si>
  <si>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</si>
  <si>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</si>
  <si>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</si>
  <si>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</si>
  <si>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</si>
  <si>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</si>
  <si>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</si>
  <si>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</si>
  <si>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</si>
  <si>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</si>
  <si>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</si>
  <si>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</si>
  <si>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</si>
  <si>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</si>
  <si>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</si>
  <si>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</si>
  <si>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</si>
  <si>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</si>
  <si>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</si>
  <si>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</si>
  <si>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</si>
  <si>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</si>
  <si>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</si>
  <si>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</si>
  <si>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</si>
  <si>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</si>
  <si>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</si>
  <si>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</si>
  <si>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</si>
  <si>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</si>
  <si>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</si>
  <si>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</si>
  <si>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</si>
  <si>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</si>
  <si>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</si>
  <si>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</si>
  <si>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</si>
  <si>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</si>
  <si>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</si>
  <si>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</si>
  <si>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</si>
  <si>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</si>
  <si>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</si>
  <si>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</si>
  <si>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</si>
  <si>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</si>
  <si>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</si>
  <si>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</si>
  <si>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</si>
  <si>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</si>
  <si>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</si>
  <si>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</si>
  <si>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</si>
  <si>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</si>
  <si>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</si>
  <si>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</si>
  <si>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</si>
  <si>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</si>
  <si>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</si>
  <si>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</si>
  <si>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</si>
  <si>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</si>
  <si>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</si>
  <si>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</si>
  <si>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</si>
  <si>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</si>
  <si>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</si>
  <si>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</si>
  <si>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</si>
  <si>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</si>
  <si>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</si>
  <si>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</si>
  <si>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</si>
  <si>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</si>
  <si>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</si>
  <si>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</si>
  <si>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</si>
  <si>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</si>
  <si>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</si>
  <si>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</si>
  <si>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</si>
  <si>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</si>
  <si>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</si>
  <si>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</si>
  <si>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</si>
  <si>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</si>
  <si>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</si>
  <si>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</si>
  <si>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</si>
  <si>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</si>
  <si>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</si>
  <si>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</si>
  <si>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</si>
  <si>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</si>
  <si>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</si>
  <si>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</si>
  <si>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</si>
  <si>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</si>
  <si>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</si>
  <si>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</si>
  <si>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</si>
  <si>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</si>
  <si>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</si>
  <si>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</si>
  <si>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</si>
  <si>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</si>
  <si>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</si>
  <si>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</si>
  <si>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</si>
  <si>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</si>
  <si>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</si>
  <si>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</si>
  <si>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</si>
  <si>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</si>
  <si>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</si>
  <si>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</si>
  <si>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</si>
  <si>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</si>
  <si>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</si>
  <si>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</si>
  <si>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</si>
  <si>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</si>
  <si>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</si>
  <si>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</si>
  <si>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</si>
  <si>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</si>
  <si>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</si>
  <si>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</si>
  <si>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</si>
  <si>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</si>
  <si>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</si>
  <si>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</si>
  <si>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</si>
  <si>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</si>
  <si>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</si>
  <si>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</si>
  <si>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</si>
  <si>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</si>
  <si>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</si>
  <si>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</si>
  <si>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</si>
  <si>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</si>
  <si>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</si>
  <si>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</si>
  <si>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</si>
  <si>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</si>
  <si>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</si>
  <si>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</si>
  <si>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</si>
  <si>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</si>
  <si>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</si>
  <si>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</si>
  <si>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</si>
  <si>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</si>
  <si>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</si>
  <si>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</si>
  <si>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</si>
  <si>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</si>
  <si>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</si>
  <si>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</si>
  <si>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</si>
  <si>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</si>
  <si>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</si>
  <si>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</si>
  <si>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</si>
  <si>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</si>
  <si>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</si>
  <si>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</si>
  <si>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</si>
  <si>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</si>
  <si>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</si>
  <si>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</si>
  <si>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</si>
  <si>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</si>
  <si>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</si>
  <si>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</si>
  <si>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</si>
  <si>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</si>
  <si>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</si>
  <si>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</si>
  <si>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</si>
  <si>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</si>
  <si>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</si>
  <si>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</si>
  <si>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</si>
  <si>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</si>
  <si>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</si>
  <si>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</si>
  <si>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</si>
  <si>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</si>
  <si>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</si>
  <si>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</si>
  <si>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</si>
  <si>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</si>
  <si>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</si>
  <si>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</si>
  <si>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</si>
  <si>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</si>
  <si>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</si>
  <si>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</si>
  <si>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</si>
  <si>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</si>
  <si>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</si>
  <si>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</si>
  <si>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</si>
  <si>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</si>
  <si>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</si>
  <si>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</si>
  <si>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</si>
  <si>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</si>
  <si>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</si>
  <si>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</si>
  <si>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</si>
  <si>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</si>
  <si>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</si>
  <si>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</si>
  <si>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</si>
  <si>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</si>
  <si>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</si>
  <si>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</si>
  <si>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</si>
  <si>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</si>
  <si>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</si>
  <si>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</si>
  <si>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</si>
  <si>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</si>
  <si>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</si>
  <si>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</si>
  <si>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</si>
  <si>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</si>
  <si>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</si>
  <si>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</si>
  <si>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</si>
  <si>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</si>
  <si>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</si>
  <si>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</si>
  <si>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</si>
  <si>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</si>
  <si>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</si>
  <si>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</si>
  <si>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</si>
  <si>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</si>
  <si>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</si>
  <si>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</si>
  <si>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</si>
  <si>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</si>
  <si>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</si>
  <si>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</si>
  <si>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</si>
  <si>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</si>
  <si>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</si>
  <si>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</si>
  <si>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</si>
  <si>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</si>
  <si>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</si>
  <si>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</si>
  <si>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</si>
  <si>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</si>
  <si>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</si>
  <si>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</si>
  <si>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</si>
  <si>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</si>
  <si>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</si>
  <si>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</si>
  <si>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</si>
  <si>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</si>
  <si>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</si>
  <si>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</si>
  <si>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</si>
  <si>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</si>
  <si>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</si>
  <si>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</si>
  <si>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</si>
  <si>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</si>
  <si>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</si>
  <si>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</si>
  <si>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</si>
  <si>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</si>
  <si>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</si>
  <si>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</si>
  <si>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</si>
  <si>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</si>
  <si>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</si>
  <si>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</si>
  <si>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</si>
  <si>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</si>
  <si>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</si>
  <si>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</si>
  <si>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</si>
  <si>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</si>
  <si>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</si>
  <si>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</si>
  <si>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</si>
  <si>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</si>
  <si>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</si>
  <si>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</si>
  <si>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</si>
  <si>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</si>
  <si>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</si>
  <si>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</si>
  <si>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</si>
  <si>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</si>
  <si>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</si>
  <si>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</si>
  <si>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</si>
  <si>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</si>
  <si>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</si>
  <si>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</si>
  <si>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</si>
  <si>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</si>
  <si>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</si>
  <si>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</si>
  <si>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</si>
  <si>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</si>
  <si>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</si>
  <si>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</si>
  <si>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</si>
  <si>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</si>
  <si>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</si>
  <si>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</si>
  <si>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</si>
  <si>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</si>
  <si>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</si>
  <si>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</si>
  <si>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</si>
  <si>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</si>
  <si>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</si>
  <si>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</si>
  <si>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</si>
  <si>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</si>
  <si>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</si>
  <si>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</si>
  <si>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</si>
  <si>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</si>
  <si>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</si>
  <si>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</si>
  <si>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</si>
  <si>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</si>
  <si>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</si>
  <si>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</si>
  <si>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</si>
  <si>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</si>
  <si>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</si>
  <si>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</si>
  <si>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</si>
  <si>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</si>
  <si>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</si>
  <si>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</si>
  <si>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</si>
  <si>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</si>
  <si>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</si>
  <si>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</si>
  <si>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</si>
  <si>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</si>
  <si>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</si>
  <si>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</si>
  <si>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</si>
  <si>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</si>
  <si>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</si>
  <si>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</si>
  <si>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</si>
  <si>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</si>
  <si>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</si>
  <si>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</si>
  <si>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</si>
  <si>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</si>
  <si>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</si>
  <si>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</si>
  <si>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</si>
  <si>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</si>
  <si>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</si>
  <si>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</si>
  <si>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</si>
  <si>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</si>
  <si>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</si>
  <si>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</si>
  <si>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</si>
  <si>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</si>
  <si>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</si>
  <si>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</si>
  <si>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</si>
  <si>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</si>
  <si>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</si>
  <si>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</si>
  <si>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</si>
  <si>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</si>
  <si>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</si>
  <si>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</si>
  <si>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</si>
  <si>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</si>
  <si>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</si>
  <si>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</si>
  <si>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</si>
  <si>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</si>
  <si>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</si>
  <si>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</si>
  <si>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</si>
  <si>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</si>
  <si>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</si>
  <si>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</si>
  <si>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</si>
  <si>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</si>
  <si>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</si>
  <si>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</si>
  <si>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</si>
  <si>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</si>
  <si>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</si>
  <si>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</si>
  <si>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</si>
  <si>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</si>
  <si>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</si>
  <si>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</si>
  <si>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</si>
  <si>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</si>
  <si>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</si>
  <si>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</si>
  <si>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</si>
  <si>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</si>
  <si>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</si>
  <si>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</si>
  <si>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</si>
  <si>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</si>
  <si>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</si>
  <si>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</si>
  <si>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</si>
  <si>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</si>
  <si>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</si>
  <si>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</si>
  <si>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</si>
  <si>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</si>
  <si>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</si>
  <si>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</si>
  <si>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</si>
  <si>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</si>
  <si>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</si>
  <si>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</si>
  <si>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</si>
  <si>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</si>
  <si>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</si>
  <si>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</si>
  <si>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</si>
  <si>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</si>
  <si>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</si>
  <si>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</si>
  <si>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</si>
  <si>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</si>
  <si>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</si>
  <si>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</si>
  <si>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</si>
  <si>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</si>
  <si>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</si>
  <si>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</si>
  <si>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</si>
  <si>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</si>
  <si>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</si>
  <si>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</si>
  <si>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</si>
  <si>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</si>
  <si>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</si>
  <si>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</si>
  <si>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</si>
  <si>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</si>
  <si>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</si>
  <si>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</si>
  <si>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</si>
  <si>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</si>
  <si>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</si>
  <si>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</si>
  <si>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</si>
  <si>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</si>
  <si>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</si>
  <si>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</si>
  <si>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</si>
  <si>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</si>
  <si>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</si>
  <si>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</si>
  <si>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</si>
  <si>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</si>
  <si>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</si>
  <si>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</si>
  <si>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</si>
  <si>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</si>
  <si>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</si>
  <si>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</si>
  <si>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</si>
  <si>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</si>
  <si>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</si>
  <si>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</si>
  <si>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</si>
  <si>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</si>
  <si>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</si>
  <si>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</si>
  <si>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</si>
  <si>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</si>
  <si>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</si>
  <si>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</si>
  <si>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</si>
  <si>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</si>
  <si>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</si>
  <si>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</si>
  <si>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</si>
  <si>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</si>
  <si>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</si>
  <si>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</si>
  <si>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</si>
  <si>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</si>
  <si>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</si>
  <si>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</si>
  <si>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</si>
  <si>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</si>
  <si>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</si>
  <si>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</si>
  <si>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</si>
  <si>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</si>
  <si>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</si>
  <si>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</si>
  <si>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</si>
  <si>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</si>
  <si>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</si>
  <si>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</si>
  <si>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</si>
  <si>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</si>
  <si>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</si>
  <si>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</si>
  <si>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</si>
  <si>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</si>
  <si>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</si>
  <si>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</si>
  <si>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</si>
  <si>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</si>
  <si>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</si>
  <si>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</si>
  <si>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</si>
  <si>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</si>
  <si>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</si>
  <si>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</si>
  <si>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</si>
  <si>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</si>
  <si>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</si>
  <si>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</si>
  <si>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</si>
  <si>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</si>
  <si>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</si>
  <si>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</si>
  <si>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</si>
  <si>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</si>
  <si>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</si>
  <si>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</si>
  <si>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</si>
  <si>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</si>
  <si>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</si>
  <si>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</si>
  <si>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</si>
  <si>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</si>
  <si>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</si>
  <si>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</si>
  <si>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</si>
  <si>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</si>
  <si>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</si>
  <si>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</si>
  <si>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</si>
  <si>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</si>
  <si>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</si>
  <si>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</si>
  <si>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</si>
  <si>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</si>
  <si>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</si>
  <si>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</si>
  <si>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</si>
  <si>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</si>
  <si>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</si>
  <si>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</si>
  <si>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</si>
  <si>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</si>
  <si>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</si>
  <si>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</si>
  <si>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</si>
  <si>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</si>
  <si>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</si>
  <si>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</si>
  <si>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</si>
  <si>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</si>
  <si>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</si>
  <si>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</si>
  <si>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</si>
  <si>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</si>
  <si>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</si>
  <si>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</si>
  <si>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</si>
  <si>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</si>
  <si>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</si>
  <si>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</si>
  <si>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</si>
  <si>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</si>
  <si>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</si>
  <si>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</si>
  <si>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</si>
  <si>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</si>
  <si>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</si>
  <si>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</si>
  <si>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</si>
  <si>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</si>
  <si>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</si>
  <si>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</si>
  <si>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</si>
  <si>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</si>
  <si>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</si>
  <si>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</si>
  <si>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</si>
  <si>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</si>
  <si>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</si>
  <si>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</si>
  <si>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</si>
  <si>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</si>
  <si>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</si>
  <si>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</si>
  <si>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</si>
  <si>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</si>
  <si>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</si>
  <si>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</si>
  <si>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</si>
  <si>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</si>
  <si>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</si>
  <si>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</si>
  <si>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</si>
  <si>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</si>
  <si>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</si>
  <si>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</si>
  <si>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</si>
  <si>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</si>
  <si>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</si>
  <si>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</si>
  <si>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</si>
  <si>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</si>
  <si>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</si>
  <si>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</si>
  <si>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</si>
  <si>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</si>
  <si>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</si>
  <si>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</si>
  <si>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</si>
  <si>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</si>
  <si>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</si>
  <si>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</si>
  <si>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</si>
  <si>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</si>
  <si>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</si>
  <si>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</si>
  <si>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</si>
  <si>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</si>
  <si>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</si>
  <si>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</si>
  <si>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</si>
  <si>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</si>
  <si>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</si>
  <si>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</si>
  <si>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</si>
  <si>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</si>
  <si>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</si>
  <si>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</si>
  <si>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</si>
  <si>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</si>
  <si>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</si>
  <si>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</si>
  <si>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</si>
  <si>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</si>
  <si>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</si>
  <si>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</si>
  <si>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</si>
  <si>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</si>
  <si>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</si>
  <si>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</si>
  <si>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</si>
  <si>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</si>
  <si>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</si>
  <si>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</si>
  <si>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</si>
  <si>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</si>
  <si>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</si>
  <si>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</si>
  <si>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</si>
  <si>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</si>
  <si>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</si>
  <si>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</si>
  <si>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</si>
  <si>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</si>
  <si>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</si>
  <si>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</si>
  <si>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</si>
  <si>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</si>
  <si>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</si>
  <si>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</si>
  <si>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</si>
  <si>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</si>
  <si>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</si>
  <si>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</si>
  <si>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</si>
  <si>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</si>
  <si>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</si>
  <si>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</si>
  <si>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</si>
  <si>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</si>
  <si>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</si>
  <si>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</si>
  <si>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</si>
  <si>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</si>
  <si>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</si>
  <si>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</si>
  <si>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</si>
  <si>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</si>
  <si>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</si>
  <si>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</si>
  <si>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</si>
  <si>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</si>
  <si>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</si>
  <si>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</si>
  <si>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</si>
  <si>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</si>
  <si>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</si>
  <si>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</si>
  <si>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</si>
  <si>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</si>
  <si>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</si>
  <si>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</si>
  <si>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</si>
  <si>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</si>
  <si>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</si>
  <si>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</si>
  <si>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</si>
  <si>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</si>
  <si>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</si>
  <si>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</si>
  <si>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</si>
  <si>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</si>
  <si>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</si>
  <si>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</si>
  <si>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</si>
  <si>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</si>
  <si>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</si>
  <si>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</si>
  <si>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</si>
  <si>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</si>
  <si>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</si>
  <si>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</si>
  <si>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</si>
  <si>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</si>
  <si>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</si>
  <si>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</si>
  <si>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</si>
  <si>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</si>
  <si>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</si>
  <si>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</si>
  <si>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</si>
  <si>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</si>
  <si>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</si>
  <si>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</si>
  <si>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</si>
  <si>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</si>
  <si>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</si>
  <si>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</si>
  <si>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</si>
  <si>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</si>
  <si>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</si>
  <si>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</si>
  <si>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</si>
  <si>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</si>
  <si>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</si>
  <si>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</si>
  <si>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</si>
  <si>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</si>
  <si>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</si>
  <si>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</si>
  <si>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</si>
  <si>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</si>
  <si>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</si>
  <si>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</si>
  <si>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</si>
  <si>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</si>
  <si>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</si>
  <si>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</si>
  <si>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</si>
  <si>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</si>
  <si>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</si>
  <si>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</si>
  <si>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</si>
  <si>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</si>
  <si>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</si>
  <si>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</si>
  <si>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</si>
  <si>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</si>
  <si>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</si>
  <si>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</si>
  <si>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</si>
  <si>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</si>
  <si>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</si>
  <si>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</si>
  <si>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</si>
  <si>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</si>
  <si>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</si>
  <si>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</si>
  <si>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</si>
  <si>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</si>
  <si>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</si>
  <si>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</si>
  <si>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</si>
  <si>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</si>
  <si>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</si>
  <si>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</si>
  <si>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</si>
  <si>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</si>
  <si>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</si>
  <si>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</si>
  <si>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</si>
  <si>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</si>
  <si>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</si>
  <si>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</si>
  <si>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</si>
  <si>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</si>
  <si>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</si>
  <si>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</si>
  <si>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</si>
  <si>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</si>
  <si>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</si>
  <si>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</si>
  <si>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</si>
  <si>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</si>
  <si>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</si>
  <si>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</si>
  <si>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</si>
  <si>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</si>
  <si>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</si>
  <si>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</si>
  <si>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</si>
  <si>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</si>
  <si>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</si>
  <si>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</si>
  <si>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</si>
  <si>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</si>
  <si>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</si>
  <si>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</si>
  <si>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</si>
  <si>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</si>
  <si>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</si>
  <si>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</si>
  <si>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</si>
  <si>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</si>
  <si>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</si>
  <si>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</si>
  <si>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</si>
  <si>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</si>
  <si>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</si>
  <si>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</si>
  <si>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</si>
  <si>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</si>
  <si>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</si>
  <si>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</si>
  <si>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</si>
  <si>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</si>
  <si>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</si>
  <si>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</si>
  <si>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</si>
  <si>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</si>
  <si>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</si>
  <si>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</si>
  <si>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</si>
  <si>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</si>
  <si>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</si>
  <si>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</si>
  <si>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</si>
  <si>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</si>
  <si>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</si>
  <si>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</si>
  <si>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</si>
  <si>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</si>
  <si>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</si>
  <si>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</si>
  <si>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</si>
  <si>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</si>
  <si>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</si>
  <si>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</si>
  <si>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</si>
  <si>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</si>
  <si>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</si>
  <si>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</si>
  <si>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</si>
  <si>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</si>
  <si>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</si>
  <si>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</si>
  <si>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</si>
  <si>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</si>
  <si>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</si>
  <si>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</si>
  <si>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</si>
  <si>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</si>
  <si>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</si>
  <si>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</si>
  <si>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</si>
  <si>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</si>
  <si>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</si>
  <si>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</si>
  <si>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</si>
  <si>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</si>
  <si>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</si>
  <si>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</si>
  <si>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</si>
  <si>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</si>
  <si>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</si>
  <si>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</si>
  <si>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</si>
  <si>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</si>
  <si>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</si>
  <si>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</si>
  <si>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</si>
  <si>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</si>
  <si>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</si>
  <si>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</si>
  <si>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</si>
  <si>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</si>
  <si>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</si>
  <si>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</si>
  <si>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</si>
  <si>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</si>
  <si>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</si>
  <si>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</si>
  <si>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</si>
  <si>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</si>
  <si>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</si>
  <si>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</si>
  <si>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</si>
  <si>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</si>
  <si>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</si>
  <si>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</si>
  <si>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</si>
  <si>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</si>
  <si>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</si>
  <si>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</si>
  <si>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</si>
  <si>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</si>
  <si>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</si>
  <si>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</si>
  <si>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</si>
  <si>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</si>
  <si>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</si>
  <si>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</si>
  <si>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</si>
  <si>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</si>
  <si>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</si>
  <si>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</si>
  <si>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</si>
  <si>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</si>
  <si>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</si>
  <si>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</si>
  <si>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</si>
  <si>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</si>
  <si>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</si>
  <si>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</si>
  <si>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</si>
  <si>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</si>
  <si>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</si>
  <si>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</si>
  <si>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</si>
  <si>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</si>
  <si>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</si>
  <si>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</si>
  <si>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</si>
  <si>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</si>
  <si>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</si>
  <si>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</si>
  <si>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</si>
  <si>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</si>
  <si>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</si>
  <si>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</si>
  <si>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</si>
  <si>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</si>
  <si>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</si>
  <si>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</si>
  <si>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</si>
  <si>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</si>
  <si>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</si>
  <si>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</si>
  <si>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</si>
  <si>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</si>
  <si>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</si>
  <si>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</si>
  <si>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</si>
  <si>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</si>
  <si>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</si>
  <si>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</si>
  <si>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</si>
  <si>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</si>
  <si>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</si>
  <si>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</si>
  <si>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</si>
  <si>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</si>
  <si>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</si>
  <si>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</si>
  <si>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</si>
  <si>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</si>
  <si>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</si>
  <si>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</si>
  <si>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</si>
  <si>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</si>
  <si>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</si>
  <si>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</si>
  <si>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</si>
  <si>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</si>
  <si>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</si>
  <si>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</si>
  <si>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</si>
  <si>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</si>
  <si>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</si>
  <si>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</si>
  <si>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</si>
  <si>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</si>
  <si>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</si>
  <si>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</si>
  <si>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</si>
  <si>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</si>
  <si>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</si>
  <si>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</si>
  <si>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</si>
  <si>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</si>
  <si>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</si>
  <si>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</si>
  <si>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</si>
  <si>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</si>
  <si>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</si>
  <si>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</si>
  <si>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</si>
  <si>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</si>
  <si>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</si>
  <si>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</si>
  <si>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</si>
  <si>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</si>
  <si>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</si>
  <si>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</si>
  <si>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</si>
  <si>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</si>
  <si>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</si>
  <si>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</si>
  <si>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</si>
  <si>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</si>
  <si>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</si>
  <si>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</si>
  <si>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</si>
  <si>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</si>
  <si>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</si>
  <si>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</si>
  <si>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</si>
  <si>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</si>
  <si>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</si>
  <si>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</si>
  <si>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</si>
  <si>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</si>
  <si>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</si>
  <si>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</si>
  <si>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</si>
  <si>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</si>
  <si>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</si>
  <si>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</si>
  <si>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</si>
  <si>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</si>
  <si>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</si>
  <si>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</si>
  <si>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</si>
  <si>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</si>
  <si>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</si>
  <si>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</si>
  <si>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</si>
  <si>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</si>
  <si>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</si>
  <si>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</si>
  <si>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</si>
  <si>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</si>
  <si>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</si>
  <si>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</si>
  <si>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</si>
  <si>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</si>
  <si>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</si>
  <si>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</si>
  <si>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</si>
  <si>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</si>
  <si>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</si>
  <si>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</si>
  <si>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</si>
  <si>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</si>
  <si>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</si>
  <si>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</si>
  <si>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</si>
  <si>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</si>
  <si>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</si>
  <si>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</si>
  <si>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</si>
  <si>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</si>
  <si>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</si>
  <si>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</si>
  <si>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</si>
  <si>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</si>
  <si>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</si>
  <si>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</si>
  <si>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</si>
  <si>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</si>
  <si>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</si>
  <si>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</si>
  <si>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</si>
  <si>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</si>
  <si>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</si>
  <si>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</si>
  <si>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</si>
  <si>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</si>
  <si>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</si>
  <si>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</si>
  <si>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</si>
  <si>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</si>
  <si>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</si>
  <si>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</si>
  <si>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</si>
  <si>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</si>
  <si>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</si>
  <si>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</si>
  <si>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</si>
  <si>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</si>
  <si>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</si>
  <si>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</si>
  <si>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</si>
  <si>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</si>
  <si>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</si>
  <si>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</si>
  <si>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</si>
  <si>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</si>
  <si>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</si>
  <si>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</si>
  <si>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</si>
  <si>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</si>
  <si>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</si>
  <si>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</si>
  <si>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</si>
  <si>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</si>
  <si>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</si>
  <si>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</si>
  <si>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</si>
  <si>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</si>
  <si>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</si>
  <si>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</si>
  <si>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</si>
  <si>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</si>
  <si>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</si>
  <si>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</si>
  <si>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</si>
  <si>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</si>
  <si>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</si>
  <si>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</si>
  <si>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</si>
  <si>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</si>
  <si>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</si>
  <si>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</si>
  <si>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</si>
  <si>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</si>
  <si>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</si>
  <si>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</si>
  <si>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</si>
  <si>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</si>
  <si>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</si>
  <si>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</si>
  <si>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</si>
  <si>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</si>
  <si>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</si>
  <si>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</si>
  <si>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</si>
  <si>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</si>
  <si>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</si>
  <si>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</si>
  <si>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</si>
  <si>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</si>
  <si>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</si>
  <si>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</si>
  <si>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</si>
  <si>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</si>
  <si>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</si>
  <si>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</si>
  <si>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</si>
  <si>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</si>
  <si>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</si>
  <si>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</si>
  <si>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</si>
  <si>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</si>
  <si>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</si>
  <si>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</si>
  <si>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</si>
  <si>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</si>
  <si>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</si>
  <si>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</si>
  <si>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</si>
  <si>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</si>
  <si>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</si>
  <si>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</si>
  <si>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</si>
  <si>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</si>
  <si>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</si>
  <si>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</si>
  <si>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</si>
  <si>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</si>
  <si>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</si>
  <si>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</si>
  <si>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</si>
  <si>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</si>
  <si>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</si>
  <si>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</si>
  <si>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</si>
  <si>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</si>
  <si>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</si>
  <si>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</si>
  <si>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</si>
  <si>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</si>
  <si>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</si>
  <si>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</si>
  <si>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</si>
  <si>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</si>
  <si>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</si>
  <si>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</si>
  <si>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</si>
  <si>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</si>
  <si>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</si>
  <si>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</si>
  <si>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</si>
  <si>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</si>
  <si>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</si>
  <si>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</si>
  <si>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</si>
  <si>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</si>
  <si>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</si>
  <si>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</si>
  <si>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</si>
  <si>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</si>
  <si>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</si>
  <si>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</si>
  <si>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</si>
  <si>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</si>
  <si>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</si>
  <si>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</si>
  <si>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</si>
  <si>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</si>
  <si>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</si>
  <si>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</si>
  <si>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</si>
  <si>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</si>
  <si>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</si>
  <si>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</si>
  <si>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</si>
  <si>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</si>
  <si>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</si>
  <si>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</si>
  <si>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</si>
  <si>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</si>
  <si>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</si>
  <si>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</si>
  <si>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</si>
  <si>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</si>
  <si>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</si>
  <si>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</si>
  <si>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</si>
  <si>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</si>
  <si>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</si>
  <si>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</si>
  <si>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</si>
  <si>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</si>
  <si>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</si>
  <si>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</si>
  <si>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</si>
  <si>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</si>
  <si>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</si>
  <si>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</si>
  <si>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</si>
  <si>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</si>
  <si>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</si>
  <si>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</si>
  <si>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</si>
  <si>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</si>
  <si>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</si>
  <si>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</si>
  <si>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</si>
  <si>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</si>
  <si>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</si>
  <si>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</si>
  <si>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</si>
  <si>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</si>
  <si>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</si>
  <si>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</si>
  <si>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</si>
  <si>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</si>
  <si>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</si>
  <si>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</si>
  <si>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</si>
  <si>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</si>
  <si>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</si>
  <si>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</si>
  <si>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</si>
  <si>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</si>
  <si>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</si>
  <si>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</si>
  <si>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</si>
  <si>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</si>
  <si>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</si>
  <si>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</si>
  <si>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</si>
  <si>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</si>
  <si>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</si>
  <si>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</si>
  <si>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</si>
  <si>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</si>
  <si>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</si>
  <si>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</si>
  <si>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</si>
  <si>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</si>
  <si>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</si>
  <si>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</si>
  <si>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</si>
  <si>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</si>
  <si>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</si>
  <si>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</si>
  <si>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</si>
  <si>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</si>
  <si>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</si>
  <si>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</si>
  <si>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</si>
  <si>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</si>
  <si>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</si>
  <si>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</si>
  <si>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</si>
  <si>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</si>
  <si>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</si>
  <si>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</si>
  <si>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</si>
  <si>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</si>
  <si>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</si>
  <si>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</si>
  <si>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</si>
  <si>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</si>
  <si>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</si>
  <si>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</si>
  <si>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</si>
  <si>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</si>
  <si>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</si>
  <si>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</si>
  <si>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</si>
  <si>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</si>
  <si>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</si>
  <si>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</si>
  <si>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</si>
  <si>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</si>
  <si>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</si>
  <si>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</si>
  <si>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</si>
  <si>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</si>
  <si>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</si>
  <si>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</si>
  <si>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</si>
  <si>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</si>
  <si>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</si>
  <si>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</si>
  <si>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</si>
  <si>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</si>
  <si>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</si>
  <si>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</si>
  <si>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</si>
  <si>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</si>
  <si>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</si>
  <si>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</si>
  <si>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</si>
  <si>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</si>
  <si>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</si>
  <si>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</si>
  <si>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</si>
  <si>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</si>
  <si>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</si>
  <si>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</si>
  <si>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</si>
  <si>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</si>
  <si>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</si>
  <si>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</si>
  <si>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</si>
  <si>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</si>
  <si>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</si>
  <si>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</si>
  <si>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</si>
  <si>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</si>
  <si>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</si>
  <si>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</si>
  <si>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</si>
  <si>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</si>
  <si>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</si>
  <si>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</si>
  <si>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</si>
  <si>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</si>
  <si>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</si>
  <si>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</si>
  <si>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</si>
  <si>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</si>
  <si>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</si>
  <si>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</si>
  <si>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</si>
  <si>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</si>
  <si>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</si>
  <si>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</si>
  <si>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</si>
  <si>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</si>
  <si>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</si>
  <si>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</si>
  <si>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</si>
  <si>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</si>
  <si>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</si>
  <si>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</si>
  <si>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</si>
  <si>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</si>
  <si>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</si>
  <si>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</si>
  <si>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</si>
  <si>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</si>
  <si>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</si>
  <si>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</si>
  <si>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</si>
  <si>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</si>
  <si>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</si>
  <si>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</si>
  <si>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</si>
  <si>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</si>
  <si>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</si>
  <si>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</si>
  <si>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</si>
  <si>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</si>
  <si>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</si>
  <si>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</si>
  <si>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</si>
  <si>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</si>
  <si>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</si>
  <si>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</si>
  <si>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</si>
  <si>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</si>
  <si>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</si>
  <si>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</si>
  <si>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</si>
  <si>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</si>
  <si>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</si>
  <si>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</si>
  <si>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</si>
  <si>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</si>
  <si>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</si>
  <si>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</si>
  <si>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</si>
  <si>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</si>
  <si>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</si>
  <si>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</si>
  <si>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</si>
  <si>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</si>
  <si>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</si>
  <si>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</si>
  <si>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</si>
  <si>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</si>
  <si>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</si>
  <si>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</si>
  <si>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</si>
  <si>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</si>
  <si>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</si>
  <si>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</si>
  <si>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</si>
  <si>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</si>
  <si>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</si>
  <si>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</si>
  <si>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</si>
  <si>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</si>
  <si>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</si>
  <si>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</si>
  <si>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</si>
  <si>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</si>
  <si>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</si>
  <si>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</si>
  <si>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</si>
  <si>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</si>
  <si>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</si>
  <si>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</si>
  <si>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</si>
  <si>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</si>
  <si>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</si>
  <si>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</si>
  <si>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</si>
  <si>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</si>
  <si>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</si>
  <si>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</si>
  <si>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</si>
  <si>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</si>
  <si>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</si>
  <si>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</si>
  <si>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</si>
  <si>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</si>
  <si>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</si>
  <si>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</si>
  <si>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</si>
  <si>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</si>
  <si>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</si>
  <si>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</si>
  <si>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</si>
  <si>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</si>
  <si>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</si>
  <si>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</si>
  <si>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</si>
  <si>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</si>
  <si>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</si>
  <si>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</si>
  <si>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</si>
  <si>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</si>
  <si>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</si>
  <si>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</si>
  <si>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</si>
  <si>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</si>
  <si>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</si>
  <si>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</si>
  <si>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</si>
  <si>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</si>
  <si>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</si>
  <si>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</si>
  <si>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</si>
  <si>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</si>
  <si>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</si>
  <si>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</si>
  <si>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</si>
  <si>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</si>
  <si>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</si>
  <si>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</si>
  <si>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</si>
  <si>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</si>
  <si>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</si>
  <si>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</si>
  <si>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</si>
  <si>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</si>
  <si>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</si>
  <si>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</si>
  <si>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</si>
  <si>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</si>
  <si>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</si>
  <si>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</si>
  <si>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</si>
  <si>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</si>
  <si>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</si>
  <si>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</si>
  <si>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</si>
  <si>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</si>
  <si>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</si>
  <si>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</si>
  <si>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</si>
  <si>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</si>
  <si>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</si>
  <si>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</si>
  <si>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</si>
  <si>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</si>
  <si>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</si>
  <si>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</si>
  <si>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</si>
  <si>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</si>
  <si>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</si>
  <si>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</si>
  <si>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</si>
  <si>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</si>
  <si>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</si>
  <si>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</si>
  <si>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</si>
  <si>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</si>
  <si>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</si>
  <si>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</si>
  <si>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</si>
  <si>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</si>
  <si>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</si>
  <si>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</si>
  <si>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</si>
  <si>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</si>
  <si>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</si>
  <si>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</si>
  <si>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</si>
  <si>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</si>
  <si>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</si>
  <si>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</si>
  <si>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</si>
  <si>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</si>
  <si>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</si>
  <si>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</si>
  <si>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</si>
  <si>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</si>
  <si>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</si>
  <si>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</si>
  <si>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</si>
  <si>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</si>
  <si>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</si>
  <si>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</si>
  <si>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</si>
  <si>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</si>
  <si>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</si>
  <si>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</si>
  <si>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</si>
  <si>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</si>
  <si>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</si>
  <si>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</si>
  <si>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</si>
  <si>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</si>
  <si>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</si>
  <si>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</si>
  <si>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</si>
  <si>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</si>
  <si>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</si>
  <si>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</si>
  <si>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</si>
  <si>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</si>
  <si>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</si>
  <si>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</si>
  <si>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</si>
  <si>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</si>
  <si>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</si>
  <si>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</si>
  <si>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</si>
  <si>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</si>
  <si>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</si>
  <si>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</si>
  <si>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</si>
  <si>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</si>
  <si>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</si>
  <si>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</si>
  <si>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</si>
  <si>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</si>
  <si>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</si>
  <si>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</si>
  <si>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</si>
  <si>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</si>
  <si>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</si>
  <si>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</si>
  <si>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</si>
  <si>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</si>
  <si>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</si>
  <si>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</si>
  <si>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</si>
  <si>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</si>
  <si>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</si>
  <si>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</si>
  <si>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</si>
  <si>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</si>
  <si>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</si>
  <si>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</si>
  <si>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</si>
  <si>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</si>
  <si>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</si>
  <si>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</si>
  <si>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</si>
  <si>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</si>
  <si>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</si>
  <si>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</si>
  <si>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</si>
  <si>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</si>
  <si>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</si>
  <si>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</si>
  <si>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</si>
  <si>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</si>
  <si>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</si>
  <si>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</si>
  <si>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</si>
  <si>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</si>
  <si>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</si>
  <si>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</si>
  <si>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</si>
  <si>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</si>
  <si>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</si>
  <si>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</si>
  <si>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</si>
  <si>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</si>
  <si>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</si>
  <si>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</si>
  <si>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</si>
  <si>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</si>
  <si>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</si>
  <si>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</si>
  <si>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</si>
  <si>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</si>
  <si>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</si>
  <si>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</si>
  <si>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</si>
  <si>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</si>
  <si>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</si>
  <si>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</si>
  <si>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</si>
  <si>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</si>
  <si>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</si>
  <si>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</si>
  <si>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</si>
  <si>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</si>
  <si>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</si>
  <si>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</si>
  <si>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</si>
  <si>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</si>
  <si>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</si>
  <si>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</si>
  <si>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</si>
  <si>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</si>
  <si>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</si>
  <si>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</si>
  <si>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</si>
  <si>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</si>
  <si>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</si>
  <si>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</si>
  <si>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</si>
  <si>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</si>
  <si>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</si>
  <si>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</si>
  <si>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</si>
  <si>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</si>
  <si>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</si>
  <si>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</si>
  <si>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</si>
  <si>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</si>
  <si>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</si>
  <si>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</si>
  <si>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</si>
  <si>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</si>
  <si>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</si>
  <si>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</si>
  <si>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</si>
  <si>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</si>
  <si>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</si>
  <si>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</si>
  <si>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</si>
  <si>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</si>
  <si>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</si>
  <si>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</si>
  <si>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</si>
  <si>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</si>
  <si>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</si>
  <si>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</si>
  <si>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</si>
  <si>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</si>
  <si>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</si>
  <si>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</si>
  <si>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</si>
  <si>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</si>
  <si>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</si>
  <si>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</si>
  <si>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</si>
  <si>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</si>
  <si>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</si>
  <si>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</si>
  <si>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</si>
  <si>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</si>
  <si>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</si>
  <si>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</si>
  <si>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</si>
  <si>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</si>
  <si>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</si>
  <si>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</si>
  <si>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</si>
  <si>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</si>
  <si>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</si>
  <si>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</si>
  <si>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</si>
  <si>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</si>
  <si>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</si>
  <si>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</si>
  <si>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</si>
  <si>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</si>
  <si>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</si>
  <si>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</si>
  <si>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</si>
  <si>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</si>
  <si>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</si>
  <si>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</si>
  <si>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</si>
  <si>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</si>
  <si>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</si>
  <si>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</si>
  <si>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</si>
  <si>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</si>
  <si>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</si>
  <si>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</si>
  <si>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</si>
  <si>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</si>
  <si>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</si>
  <si>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</si>
  <si>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</si>
  <si>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</si>
  <si>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</si>
  <si>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</si>
  <si>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</si>
  <si>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</si>
  <si>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</si>
  <si>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</si>
  <si>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</si>
  <si>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</si>
  <si>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</si>
  <si>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</si>
  <si>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</si>
  <si>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</si>
  <si>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</si>
  <si>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</si>
  <si>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</si>
  <si>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</si>
  <si>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</si>
  <si>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</si>
  <si>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</si>
  <si>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</si>
  <si>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</si>
  <si>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</si>
  <si>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</si>
  <si>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</si>
  <si>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</si>
  <si>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</si>
  <si>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</si>
  <si>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</si>
  <si>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</si>
  <si>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</si>
  <si>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</si>
  <si>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</si>
  <si>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</si>
  <si>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</si>
  <si>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</si>
  <si>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</si>
  <si>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</si>
  <si>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</si>
  <si>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</si>
  <si>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</si>
  <si>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</si>
  <si>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</si>
  <si>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</si>
  <si>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</si>
  <si>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</si>
  <si>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</si>
  <si>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</si>
  <si>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</si>
  <si>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</si>
  <si>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</si>
  <si>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</si>
  <si>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</si>
  <si>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</si>
  <si>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</si>
  <si>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</si>
  <si>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</si>
  <si>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</si>
  <si>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</si>
  <si>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</si>
  <si>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</si>
  <si>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</si>
  <si>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</si>
  <si>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</si>
  <si>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</si>
  <si>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</si>
  <si>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</si>
  <si>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</si>
  <si>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</si>
  <si>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</si>
  <si>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</si>
  <si>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</si>
  <si>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</si>
  <si>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</si>
  <si>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</si>
  <si>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</si>
  <si>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</si>
  <si>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</si>
  <si>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</si>
  <si>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</si>
  <si>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</si>
  <si>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</si>
  <si>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</si>
  <si>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</si>
  <si>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</si>
  <si>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</si>
  <si>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</si>
  <si>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</si>
  <si>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</si>
  <si>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</si>
  <si>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</si>
  <si>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</si>
  <si>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</si>
  <si>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</si>
  <si>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</si>
  <si>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</si>
  <si>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</si>
  <si>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</si>
  <si>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</si>
  <si>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</si>
  <si>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</si>
  <si>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</si>
  <si>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</si>
  <si>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</si>
  <si>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</si>
  <si>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</si>
  <si>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</si>
  <si>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</si>
  <si>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</si>
  <si>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</si>
  <si>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</si>
  <si>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</si>
  <si>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</si>
  <si>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</si>
  <si>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</si>
  <si>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</si>
  <si>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</si>
  <si>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</si>
  <si>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</si>
  <si>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</si>
  <si>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</si>
  <si>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</si>
  <si>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</si>
  <si>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</si>
  <si>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</si>
  <si>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</si>
  <si>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</si>
  <si>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</si>
  <si>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</si>
  <si>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</si>
  <si>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</si>
  <si>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</si>
  <si>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</si>
  <si>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</si>
  <si>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</si>
  <si>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</si>
  <si>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</si>
  <si>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</si>
  <si>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</si>
  <si>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</si>
  <si>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</si>
  <si>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</si>
  <si>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</si>
  <si>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</si>
  <si>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</si>
  <si>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</si>
  <si>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</si>
  <si>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</si>
  <si>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</si>
  <si>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</si>
  <si>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</si>
  <si>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</si>
  <si>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</si>
  <si>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</si>
  <si>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</si>
  <si>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</si>
  <si>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</si>
  <si>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</si>
  <si>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</si>
  <si>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</si>
  <si>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</si>
  <si>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</si>
  <si>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</si>
  <si>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</si>
  <si>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</si>
  <si>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</si>
  <si>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</si>
  <si>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</si>
  <si>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</si>
  <si>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</si>
  <si>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</si>
  <si>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</si>
  <si>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</si>
  <si>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</si>
  <si>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</si>
  <si>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</si>
  <si>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</si>
  <si>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</si>
  <si>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</si>
  <si>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</si>
  <si>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</si>
  <si>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</si>
  <si>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</si>
  <si>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</si>
  <si>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</si>
  <si>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</si>
  <si>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</si>
  <si>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</si>
  <si>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</si>
  <si>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</si>
  <si>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</si>
  <si>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</si>
  <si>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</si>
  <si>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</si>
  <si>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</si>
  <si>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</si>
  <si>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</si>
  <si>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</si>
  <si>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</si>
  <si>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</si>
  <si>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</si>
  <si>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</si>
  <si>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</si>
  <si>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</si>
  <si>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</si>
  <si>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</si>
  <si>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</si>
  <si>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</si>
  <si>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</si>
  <si>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</si>
  <si>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</si>
  <si>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</si>
  <si>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</si>
  <si>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</si>
  <si>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</si>
  <si>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</si>
  <si>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</si>
  <si>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</si>
  <si>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</si>
  <si>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</si>
  <si>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</si>
  <si>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</si>
  <si>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</si>
  <si>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</si>
  <si>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</si>
  <si>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</si>
  <si>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</si>
  <si>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</si>
  <si>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</si>
  <si>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</si>
  <si>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</si>
  <si>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</si>
  <si>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</si>
  <si>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</si>
  <si>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</si>
  <si>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</si>
  <si>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</si>
  <si>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</si>
  <si>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</si>
  <si>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</si>
  <si>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</si>
  <si>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</si>
  <si>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</si>
  <si>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</si>
  <si>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</si>
  <si>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</si>
  <si>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</si>
  <si>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</si>
  <si>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</si>
  <si>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</si>
  <si>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</si>
  <si>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</si>
  <si>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</si>
  <si>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</si>
  <si>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</si>
  <si>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</si>
  <si>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</si>
  <si>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</si>
  <si>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</si>
  <si>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</si>
  <si>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</si>
  <si>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</si>
  <si>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</si>
  <si>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</si>
  <si>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</si>
  <si>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</si>
  <si>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</si>
  <si>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</si>
  <si>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</si>
  <si>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</si>
  <si>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</si>
  <si>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</si>
  <si>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</si>
  <si>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</si>
  <si>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</si>
  <si>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</si>
  <si>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</si>
  <si>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</si>
  <si>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</si>
  <si>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</si>
  <si>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</si>
  <si>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</si>
  <si>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</si>
  <si>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</si>
  <si>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</si>
  <si>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</si>
  <si>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</si>
  <si>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</si>
  <si>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</si>
  <si>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</si>
  <si>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</si>
  <si>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</si>
  <si>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</si>
  <si>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</si>
  <si>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</si>
  <si>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</si>
  <si>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</si>
  <si>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</si>
  <si>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</si>
  <si>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</si>
  <si>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</si>
  <si>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</si>
  <si>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</si>
  <si>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</si>
  <si>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</si>
  <si>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</si>
  <si>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</si>
  <si>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</si>
  <si>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</si>
  <si>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</si>
  <si>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</si>
  <si>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</si>
  <si>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</si>
  <si>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</si>
  <si>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</si>
  <si>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</si>
  <si>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</si>
  <si>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</si>
  <si>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</si>
  <si>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</si>
  <si>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</si>
  <si>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</si>
  <si>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</si>
  <si>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</si>
  <si>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</si>
  <si>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</si>
  <si>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</si>
  <si>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</si>
  <si>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</si>
  <si>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</si>
  <si>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</si>
  <si>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</si>
  <si>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</si>
  <si>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</si>
  <si>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</si>
  <si>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</si>
  <si>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</si>
  <si>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</si>
  <si>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</si>
  <si>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</si>
  <si>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</si>
  <si>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</si>
  <si>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</si>
  <si>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</si>
  <si>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</si>
  <si>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</si>
  <si>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</si>
  <si>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</si>
  <si>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</si>
  <si>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</si>
  <si>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</si>
  <si>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</si>
  <si>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</si>
  <si>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</si>
  <si>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</si>
  <si>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</si>
  <si>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</si>
  <si>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</si>
  <si>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</si>
  <si>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</si>
  <si>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</si>
  <si>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</si>
  <si>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</si>
  <si>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</si>
  <si>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</si>
  <si>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</si>
  <si>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</si>
  <si>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</si>
  <si>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</si>
  <si>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</si>
  <si>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</si>
  <si>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</si>
  <si>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</si>
  <si>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</si>
  <si>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</si>
  <si>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</si>
  <si>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</si>
  <si>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</si>
  <si>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</si>
  <si>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</si>
  <si>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</si>
  <si>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</si>
  <si>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</si>
  <si>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</si>
  <si>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</si>
  <si>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</si>
  <si>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</si>
  <si>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</si>
  <si>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</si>
  <si>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</si>
  <si>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</si>
  <si>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</si>
  <si>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</si>
  <si>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</si>
  <si>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</si>
  <si>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</si>
  <si>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</si>
  <si>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</si>
  <si>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</si>
  <si>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</si>
  <si>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</si>
  <si>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</si>
  <si>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</si>
  <si>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</si>
  <si>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</si>
  <si>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</si>
  <si>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</si>
  <si>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</si>
  <si>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</si>
  <si>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</si>
  <si>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</si>
  <si>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</si>
  <si>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</si>
  <si>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</si>
  <si>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</si>
  <si>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</si>
  <si>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</si>
  <si>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</si>
  <si>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</si>
  <si>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</si>
  <si>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</si>
  <si>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</si>
  <si>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</si>
  <si>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</si>
  <si>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</si>
  <si>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</si>
  <si>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</si>
  <si>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</si>
  <si>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</si>
  <si>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</si>
  <si>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</si>
  <si>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</si>
  <si>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</si>
  <si>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</si>
  <si>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</si>
  <si>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</si>
  <si>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</si>
  <si>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</si>
  <si>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</si>
  <si>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</si>
  <si>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</si>
  <si>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</si>
  <si>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</si>
  <si>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</si>
  <si>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</si>
  <si>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</si>
  <si>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</si>
  <si>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</si>
  <si>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</si>
  <si>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</si>
  <si>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</si>
  <si>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</si>
  <si>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</si>
  <si>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</si>
  <si>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</si>
  <si>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</si>
  <si>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</si>
  <si>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</si>
  <si>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</si>
  <si>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</si>
  <si>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</si>
  <si>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</si>
  <si>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</si>
  <si>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</si>
  <si>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</si>
  <si>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</si>
  <si>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</si>
  <si>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</si>
  <si>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</si>
  <si>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</si>
  <si>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</si>
  <si>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</si>
  <si>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</si>
  <si>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</si>
  <si>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</si>
  <si>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</si>
  <si>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</si>
  <si>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</si>
  <si>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</si>
  <si>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</si>
  <si>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</si>
  <si>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</si>
  <si>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</si>
  <si>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</si>
  <si>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</si>
  <si>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</si>
  <si>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</si>
  <si>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</si>
  <si>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</si>
  <si>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</si>
  <si>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</si>
  <si>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</si>
  <si>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</si>
  <si>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</si>
  <si>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</si>
  <si>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</si>
  <si>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</si>
  <si>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</si>
  <si>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</si>
  <si>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</si>
  <si>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</si>
  <si>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</si>
  <si>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</si>
  <si>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</si>
  <si>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</si>
  <si>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</si>
  <si>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</si>
  <si>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</si>
  <si>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</si>
  <si>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</si>
  <si>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</si>
  <si>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</si>
  <si>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</si>
  <si>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</si>
  <si>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</si>
  <si>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</si>
  <si>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</si>
  <si>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</si>
  <si>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</si>
  <si>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</si>
  <si>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</si>
  <si>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</si>
  <si>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</si>
  <si>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</si>
  <si>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</si>
  <si>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</si>
  <si>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</si>
  <si>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</si>
  <si>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</si>
  <si>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</si>
  <si>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</si>
  <si>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</si>
  <si>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</si>
  <si>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</si>
  <si>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</si>
  <si>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</si>
  <si>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</si>
  <si>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</si>
  <si>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</si>
  <si>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</si>
  <si>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</si>
  <si>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</si>
  <si>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</si>
  <si>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</si>
  <si>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</si>
  <si>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</si>
  <si>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</si>
  <si>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</si>
  <si>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</si>
  <si>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</si>
  <si>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</si>
  <si>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</si>
  <si>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</si>
  <si>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</si>
  <si>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</si>
  <si>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</si>
  <si>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</si>
  <si>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</si>
  <si>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</si>
  <si>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</si>
  <si>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</si>
  <si>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</si>
  <si>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</si>
  <si>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</si>
  <si>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</si>
  <si>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</si>
  <si>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</si>
  <si>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</si>
  <si>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</si>
  <si>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</si>
  <si>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</si>
  <si>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</si>
  <si>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</si>
  <si>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</si>
  <si>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</si>
  <si>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</si>
  <si>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</si>
  <si>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</si>
  <si>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</si>
  <si>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</si>
  <si>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</si>
  <si>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</si>
  <si>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</si>
  <si>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</si>
  <si>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</si>
  <si>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</si>
  <si>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</si>
  <si>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</si>
  <si>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</si>
  <si>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</si>
  <si>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</si>
  <si>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</si>
  <si>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</si>
  <si>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</si>
  <si>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</si>
  <si>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</si>
  <si>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</si>
  <si>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</si>
  <si>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</si>
  <si>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</si>
  <si>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</si>
  <si>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</si>
  <si>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</si>
  <si>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</si>
  <si>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</si>
  <si>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</si>
  <si>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</si>
  <si>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</si>
  <si>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</si>
  <si>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</si>
  <si>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</si>
  <si>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</si>
  <si>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</si>
  <si>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</si>
  <si>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</si>
  <si>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</si>
  <si>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</si>
  <si>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</si>
  <si>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</si>
  <si>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</si>
  <si>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</si>
  <si>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</si>
  <si>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</si>
  <si>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</si>
  <si>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</si>
  <si>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</si>
  <si>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</si>
  <si>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</si>
  <si>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</si>
  <si>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</si>
  <si>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</si>
  <si>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</si>
  <si>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</si>
  <si>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</si>
  <si>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</si>
  <si>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</si>
  <si>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</si>
  <si>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</si>
  <si>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</si>
  <si>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</si>
  <si>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</si>
  <si>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</si>
  <si>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</si>
  <si>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</si>
  <si>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</si>
  <si>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</si>
  <si>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</si>
  <si>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</si>
  <si>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</si>
  <si>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</si>
  <si>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</si>
  <si>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</si>
  <si>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</si>
  <si>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</si>
  <si>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</si>
  <si>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</si>
  <si>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</si>
  <si>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</si>
  <si>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</si>
  <si>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</si>
  <si>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</si>
  <si>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</si>
  <si>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</si>
  <si>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</si>
  <si>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</si>
  <si>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</si>
  <si>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</si>
  <si>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</si>
  <si>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</si>
  <si>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</si>
  <si>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</si>
  <si>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</si>
  <si>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</si>
  <si>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</si>
  <si>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</si>
  <si>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</si>
  <si>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</si>
  <si>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</si>
  <si>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</si>
  <si>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</si>
  <si>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</si>
  <si>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</si>
  <si>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</si>
  <si>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</si>
  <si>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</si>
  <si>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</si>
  <si>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</si>
  <si>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</si>
  <si>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</si>
  <si>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</si>
  <si>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</si>
  <si>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</si>
  <si>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</si>
  <si>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</si>
  <si>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</si>
  <si>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</si>
  <si>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</si>
  <si>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</si>
  <si>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</si>
  <si>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</si>
  <si>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</si>
  <si>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</si>
  <si>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</si>
  <si>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</si>
  <si>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</si>
  <si>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</si>
  <si>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</si>
  <si>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</si>
  <si>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</si>
  <si>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</si>
  <si>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</si>
  <si>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</si>
  <si>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</si>
  <si>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</si>
  <si>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</si>
  <si>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</si>
  <si>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</si>
  <si>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</si>
  <si>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</si>
  <si>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</si>
  <si>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</si>
  <si>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</si>
  <si>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</si>
  <si>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</si>
  <si>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</si>
  <si>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</si>
  <si>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</si>
  <si>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</si>
  <si>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</si>
  <si>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</si>
  <si>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</si>
  <si>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</si>
  <si>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</si>
  <si>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</si>
  <si>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</si>
  <si>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</si>
  <si>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</si>
  <si>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</si>
  <si>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</si>
  <si>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</si>
  <si>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</si>
  <si>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</si>
  <si>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</si>
  <si>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</si>
  <si>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</si>
  <si>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</si>
  <si>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</si>
  <si>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</si>
  <si>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</si>
  <si>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</si>
  <si>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</si>
  <si>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</si>
  <si>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</si>
  <si>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</si>
  <si>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</si>
  <si>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</si>
  <si>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</si>
  <si>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</si>
  <si>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</si>
  <si>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</si>
  <si>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</si>
  <si>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</si>
  <si>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</si>
  <si>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</si>
  <si>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</si>
  <si>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</si>
  <si>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</si>
  <si>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</si>
  <si>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</si>
  <si>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</si>
  <si>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</si>
  <si>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</si>
  <si>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</si>
  <si>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</si>
  <si>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</si>
  <si>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</si>
  <si>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</si>
  <si>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</si>
  <si>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</si>
  <si>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</si>
  <si>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</si>
  <si>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</si>
  <si>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</si>
  <si>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</si>
  <si>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</si>
  <si>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</si>
  <si>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</si>
  <si>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</si>
  <si>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</si>
  <si>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</si>
  <si>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</si>
  <si>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</si>
  <si>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</si>
  <si>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</si>
  <si>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</si>
  <si>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</si>
  <si>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</si>
  <si>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</si>
  <si>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</si>
  <si>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</si>
  <si>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</si>
  <si>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</si>
  <si>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</si>
  <si>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</si>
  <si>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</si>
  <si>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</si>
  <si>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</si>
  <si>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</si>
  <si>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</si>
  <si>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</si>
  <si>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</si>
  <si>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</si>
  <si>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</si>
  <si>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</si>
  <si>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</si>
  <si>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</si>
  <si>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</si>
  <si>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</si>
  <si>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</si>
  <si>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</si>
  <si>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</si>
  <si>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</si>
  <si>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</si>
  <si>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</si>
  <si>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</si>
  <si>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</si>
  <si>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</si>
  <si>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</si>
  <si>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</si>
  <si>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</si>
  <si>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</si>
  <si>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</si>
  <si>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</si>
  <si>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</si>
  <si>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</si>
  <si>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</si>
  <si>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</si>
  <si>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</si>
  <si>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</si>
  <si>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</si>
  <si>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</si>
  <si>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</si>
  <si>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</si>
  <si>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</si>
  <si>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</si>
  <si>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</si>
  <si>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</si>
  <si>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</si>
  <si>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</si>
  <si>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</si>
  <si>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</si>
  <si>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</si>
  <si>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</si>
  <si>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</si>
  <si>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</si>
  <si>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</si>
  <si>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</si>
  <si>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</si>
  <si>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</si>
  <si>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</si>
  <si>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</si>
  <si>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</si>
  <si>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</si>
  <si>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</si>
  <si>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</si>
  <si>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</si>
  <si>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</si>
  <si>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</si>
  <si>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</si>
  <si>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</si>
  <si>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</si>
  <si>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</si>
  <si>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</si>
  <si>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</si>
  <si>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</si>
  <si>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</si>
  <si>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</si>
  <si>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</si>
  <si>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</si>
  <si>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</si>
  <si>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</si>
  <si>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</si>
  <si>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</si>
  <si>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</si>
  <si>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</si>
  <si>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</si>
  <si>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</si>
  <si>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</si>
  <si>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</si>
  <si>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</si>
  <si>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</si>
  <si>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</si>
  <si>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</si>
  <si>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</si>
  <si>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</si>
  <si>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</si>
  <si>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</si>
  <si>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</si>
  <si>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</si>
  <si>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</si>
  <si>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</si>
  <si>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</si>
  <si>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</si>
  <si>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</si>
  <si>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</si>
  <si>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</si>
  <si>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</si>
  <si>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</si>
  <si>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</si>
  <si>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</si>
  <si>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</si>
  <si>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</si>
  <si>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</si>
  <si>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</si>
  <si>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</si>
  <si>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</si>
  <si>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</si>
  <si>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</si>
  <si>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</si>
  <si>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</si>
  <si>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</si>
  <si>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</si>
  <si>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</si>
  <si>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</si>
  <si>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</si>
  <si>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</si>
  <si>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</si>
  <si>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</si>
  <si>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</si>
  <si>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</si>
  <si>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</si>
  <si>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</si>
  <si>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</si>
  <si>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</si>
  <si>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</si>
  <si>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</si>
  <si>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</si>
  <si>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</si>
  <si>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</si>
  <si>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</si>
  <si>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</si>
  <si>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</si>
  <si>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</si>
  <si>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</si>
  <si>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</si>
  <si>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</si>
  <si>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</si>
  <si>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</si>
  <si>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</si>
  <si>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</si>
  <si>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</si>
  <si>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</si>
  <si>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</si>
  <si>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</si>
  <si>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</si>
  <si>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</si>
  <si>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</si>
  <si>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</si>
  <si>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</si>
  <si>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</si>
  <si>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</si>
  <si>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</si>
  <si>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</si>
  <si>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</si>
  <si>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</si>
  <si>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</si>
  <si>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</si>
  <si>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</si>
  <si>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</si>
  <si>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</si>
  <si>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</si>
  <si>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</si>
  <si>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</si>
  <si>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</si>
  <si>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</si>
  <si>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</si>
  <si>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</si>
  <si>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</si>
  <si>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</si>
  <si>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</si>
  <si>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</si>
  <si>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</si>
  <si>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</si>
  <si>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</si>
  <si>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</si>
  <si>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</si>
  <si>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</si>
  <si>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</si>
  <si>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</si>
  <si>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</si>
  <si>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</si>
  <si>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</si>
  <si>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</si>
  <si>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</si>
  <si>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</si>
  <si>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</si>
  <si>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</si>
  <si>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</si>
  <si>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</si>
  <si>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</si>
  <si>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</si>
  <si>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</si>
  <si>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</si>
  <si>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</si>
  <si>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</si>
  <si>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</si>
  <si>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</si>
  <si>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</si>
  <si>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</si>
  <si>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</si>
  <si>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</si>
  <si>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</si>
  <si>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</si>
  <si>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</si>
  <si>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</si>
  <si>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</si>
  <si>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</si>
  <si>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</si>
  <si>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</si>
  <si>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</si>
  <si>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</si>
  <si>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</si>
  <si>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</si>
  <si>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</si>
  <si>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</si>
  <si>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</si>
  <si>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</si>
  <si>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</si>
  <si>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</si>
  <si>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</si>
  <si>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</si>
  <si>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</si>
  <si>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</si>
  <si>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</si>
  <si>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</si>
  <si>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</si>
  <si>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</si>
  <si>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</si>
  <si>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</si>
  <si>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</si>
  <si>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</si>
  <si>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</si>
  <si>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</si>
  <si>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</si>
  <si>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</si>
  <si>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</si>
  <si>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</si>
  <si>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</si>
  <si>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</si>
  <si>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</si>
  <si>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</si>
  <si>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</si>
  <si>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</si>
  <si>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</si>
  <si>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</si>
  <si>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</si>
  <si>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</si>
  <si>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</si>
  <si>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</si>
  <si>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</si>
  <si>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</si>
  <si>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</si>
  <si>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</si>
  <si>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</si>
  <si>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</si>
  <si>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</si>
  <si>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</si>
  <si>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</si>
  <si>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</si>
  <si>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</si>
  <si>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</si>
  <si>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</si>
  <si>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</si>
  <si>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</si>
  <si>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</si>
  <si>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</si>
  <si>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</si>
  <si>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</si>
  <si>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</si>
  <si>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</si>
  <si>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</si>
  <si>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</si>
  <si>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</si>
  <si>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</si>
  <si>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</si>
  <si>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</si>
  <si>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</si>
  <si>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</si>
  <si>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</si>
  <si>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</si>
  <si>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</si>
  <si>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</si>
  <si>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</si>
  <si>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</si>
  <si>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</si>
  <si>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</si>
  <si>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</si>
  <si>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</si>
  <si>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</si>
  <si>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</si>
  <si>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</si>
  <si>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</si>
  <si>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</si>
  <si>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</si>
  <si>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</si>
  <si>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</si>
  <si>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</si>
  <si>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</si>
  <si>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</si>
  <si>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</si>
  <si>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</si>
  <si>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</si>
  <si>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</si>
  <si>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</si>
  <si>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</si>
  <si>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</si>
  <si>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</si>
  <si>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</si>
  <si>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</si>
  <si>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</si>
  <si>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</si>
  <si>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</si>
  <si>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</si>
  <si>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</si>
  <si>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</si>
  <si>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</si>
  <si>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</si>
  <si>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</si>
  <si>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</si>
  <si>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</si>
  <si>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</si>
  <si>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</si>
  <si>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</si>
  <si>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</si>
  <si>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</si>
  <si>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</si>
  <si>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</si>
  <si>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</si>
  <si>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</si>
  <si>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</si>
  <si>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</si>
  <si>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</si>
  <si>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</si>
  <si>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</si>
  <si>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</si>
  <si>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</si>
  <si>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</si>
  <si>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</si>
  <si>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</si>
  <si>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</si>
  <si>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</si>
  <si>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</si>
  <si>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</si>
  <si>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</si>
  <si>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</si>
  <si>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</si>
  <si>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</si>
  <si>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</si>
  <si>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</si>
  <si>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</si>
  <si>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</si>
  <si>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</si>
  <si>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</si>
  <si>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</si>
  <si>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</si>
  <si>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</si>
  <si>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</si>
  <si>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</si>
  <si>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</si>
  <si>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</si>
  <si>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</si>
  <si>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</si>
  <si>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</si>
  <si>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</si>
  <si>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</si>
  <si>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</si>
  <si>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</si>
  <si>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</si>
  <si>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</si>
  <si>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</si>
  <si>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</si>
  <si>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</si>
  <si>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</si>
  <si>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</si>
  <si>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</si>
  <si>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</si>
  <si>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</si>
  <si>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</si>
  <si>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</si>
  <si>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</si>
  <si>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</si>
  <si>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</si>
  <si>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</si>
  <si>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</si>
  <si>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</si>
  <si>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</si>
  <si>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</si>
  <si>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</si>
  <si>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</si>
  <si>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</si>
  <si>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</si>
  <si>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</si>
  <si>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</si>
  <si>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</si>
  <si>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</si>
  <si>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</si>
  <si>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</si>
  <si>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</si>
  <si>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</si>
  <si>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</si>
  <si>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</si>
  <si>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</si>
  <si>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</si>
  <si>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</si>
  <si>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</si>
  <si>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</si>
  <si>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</si>
  <si>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</si>
  <si>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</si>
  <si>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</si>
  <si>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</si>
  <si>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</si>
  <si>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</si>
  <si>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</si>
  <si>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</si>
  <si>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</si>
  <si>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</si>
  <si>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</si>
  <si>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</si>
  <si>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</si>
  <si>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</si>
  <si>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</si>
  <si>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</si>
  <si>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</si>
  <si>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</si>
  <si>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</si>
  <si>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</si>
  <si>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</si>
  <si>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</si>
  <si>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</si>
  <si>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</si>
  <si>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</si>
  <si>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</si>
  <si>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</si>
  <si>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</si>
  <si>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</si>
  <si>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</si>
  <si>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</si>
  <si>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</si>
  <si>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</si>
  <si>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</si>
  <si>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</si>
  <si>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</si>
  <si>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</si>
  <si>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</si>
  <si>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</si>
  <si>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</si>
  <si>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</si>
  <si>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</si>
  <si>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</si>
  <si>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</si>
  <si>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</si>
  <si>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</si>
  <si>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</si>
  <si>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</si>
  <si>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</si>
  <si>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</si>
  <si>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</si>
  <si>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</si>
  <si>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</si>
  <si>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</si>
  <si>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</si>
  <si>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</si>
  <si>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</si>
  <si>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</si>
  <si>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</si>
  <si>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</si>
  <si>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</si>
  <si>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</si>
  <si>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</si>
  <si>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</si>
  <si>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</si>
  <si>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</si>
  <si>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</si>
  <si>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</si>
  <si>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</si>
  <si>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</si>
  <si>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</si>
  <si>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</si>
  <si>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</si>
  <si>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</si>
  <si>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</si>
  <si>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</si>
  <si>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</si>
  <si>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</si>
  <si>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</si>
  <si>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</si>
  <si>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</si>
  <si>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</si>
  <si>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</si>
  <si>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</si>
  <si>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</si>
  <si>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</si>
  <si>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</si>
  <si>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</si>
  <si>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</si>
  <si>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</si>
  <si>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</si>
  <si>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</si>
  <si>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</si>
  <si>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</si>
  <si>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</si>
  <si>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</si>
  <si>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</si>
  <si>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</si>
  <si>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</si>
  <si>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</si>
  <si>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</si>
  <si>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</si>
  <si>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</si>
  <si>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</si>
  <si>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</si>
  <si>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</si>
  <si>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</si>
  <si>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</si>
  <si>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</si>
  <si>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</si>
  <si>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</si>
  <si>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</si>
  <si>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</si>
  <si>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</si>
  <si>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</si>
  <si>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</si>
  <si>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</si>
  <si>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</si>
  <si>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</si>
  <si>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</si>
  <si>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</si>
  <si>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</si>
  <si>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</si>
  <si>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</si>
  <si>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</si>
  <si>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</si>
  <si>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</si>
  <si>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</si>
  <si>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</si>
  <si>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</si>
  <si>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</si>
  <si>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</si>
  <si>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</si>
  <si>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</si>
  <si>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</si>
  <si>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</si>
  <si>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</si>
  <si>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</si>
  <si>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</si>
  <si>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</si>
  <si>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</si>
  <si>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</si>
  <si>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</si>
  <si>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</si>
  <si>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</si>
  <si>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</si>
  <si>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</si>
  <si>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</si>
  <si>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</si>
  <si>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</si>
  <si>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</si>
  <si>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</si>
  <si>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</si>
  <si>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</si>
  <si>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</si>
  <si>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</si>
  <si>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</si>
  <si>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</si>
  <si>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</si>
  <si>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</si>
  <si>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</si>
  <si>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</si>
  <si>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</si>
  <si>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</si>
  <si>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</si>
  <si>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</si>
  <si>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</si>
  <si>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</si>
  <si>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</si>
  <si>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</si>
  <si>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</si>
  <si>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</si>
  <si>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</si>
  <si>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</si>
  <si>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</si>
  <si>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</si>
  <si>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</si>
  <si>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</si>
  <si>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</si>
  <si>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</si>
  <si>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</si>
  <si>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</si>
  <si>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</si>
  <si>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</si>
  <si>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</si>
  <si>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</si>
  <si>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</si>
  <si>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</si>
  <si>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</si>
  <si>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</si>
  <si>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</si>
  <si>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</si>
  <si>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</si>
  <si>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</si>
  <si>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</si>
  <si>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</si>
  <si>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</si>
  <si>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</si>
  <si>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</si>
  <si>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</si>
  <si>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</si>
  <si>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</si>
  <si>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</si>
  <si>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</si>
  <si>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</si>
  <si>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</si>
  <si>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</si>
  <si>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</si>
  <si>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</si>
  <si>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</si>
  <si>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</si>
  <si>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</si>
  <si>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</si>
  <si>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</si>
  <si>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</si>
  <si>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</si>
  <si>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</si>
  <si>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</si>
  <si>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</si>
  <si>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</si>
  <si>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</si>
  <si>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</si>
  <si>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</si>
  <si>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</si>
  <si>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</si>
  <si>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</si>
  <si>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</si>
  <si>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</si>
  <si>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</si>
  <si>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</si>
  <si>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</si>
  <si>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</si>
  <si>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</si>
  <si>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</si>
  <si>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</si>
  <si>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</si>
  <si>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</si>
  <si>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</si>
  <si>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</si>
  <si>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</si>
  <si>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</si>
  <si>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</si>
  <si>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</si>
  <si>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</si>
  <si>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</si>
  <si>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</si>
  <si>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</si>
  <si>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</si>
  <si>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</si>
  <si>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</si>
  <si>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</si>
  <si>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</si>
  <si>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</si>
  <si>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</si>
  <si>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</si>
  <si>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</si>
  <si>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</si>
  <si>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</si>
  <si>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</si>
  <si>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</si>
  <si>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</si>
  <si>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</si>
  <si>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</si>
  <si>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</si>
  <si>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</si>
  <si>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</si>
  <si>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</si>
  <si>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</si>
  <si>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</si>
  <si>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</si>
  <si>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</si>
  <si>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</si>
  <si>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</si>
  <si>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</si>
  <si>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</si>
  <si>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</si>
  <si>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</si>
  <si>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</si>
  <si>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</si>
  <si>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</si>
  <si>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</si>
  <si>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</si>
  <si>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</si>
  <si>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</si>
  <si>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</si>
  <si>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</si>
  <si>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</si>
  <si>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</si>
  <si>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</si>
  <si>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</si>
  <si>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</si>
  <si>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</si>
  <si>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</si>
  <si>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</si>
  <si>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</si>
  <si>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</si>
  <si>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</si>
  <si>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</si>
  <si>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</si>
  <si>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</si>
  <si>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</si>
  <si>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</si>
  <si>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</si>
  <si>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</si>
  <si>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</si>
  <si>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</si>
  <si>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</si>
  <si>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</si>
  <si>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</si>
  <si>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</si>
  <si>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</si>
  <si>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</si>
  <si>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</si>
  <si>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</si>
  <si>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</si>
  <si>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</si>
  <si>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</si>
  <si>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</si>
  <si>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</si>
  <si>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</si>
  <si>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</si>
  <si>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</si>
  <si>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</si>
  <si>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</si>
  <si>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</si>
  <si>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</si>
  <si>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</si>
  <si>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</si>
  <si>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</si>
  <si>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</si>
  <si>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</si>
  <si>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</si>
  <si>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</si>
  <si>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</si>
  <si>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</si>
  <si>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</si>
  <si>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</si>
  <si>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</si>
  <si>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</si>
  <si>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</si>
  <si>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</si>
  <si>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</si>
  <si>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</si>
  <si>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</si>
  <si>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</si>
  <si>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</si>
  <si>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</si>
  <si>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</si>
  <si>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</si>
  <si>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</si>
  <si>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</si>
  <si>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</si>
  <si>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</si>
  <si>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</si>
  <si>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</si>
  <si>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</si>
  <si>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</si>
  <si>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</si>
  <si>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</si>
  <si>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</si>
  <si>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</si>
  <si>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</si>
  <si>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</si>
  <si>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</si>
  <si>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</si>
  <si>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</si>
  <si>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</si>
  <si>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</si>
  <si>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</si>
  <si>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</si>
  <si>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</si>
  <si>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</si>
  <si>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</si>
  <si>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</si>
  <si>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</si>
  <si>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</si>
  <si>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</si>
  <si>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</si>
  <si>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</si>
  <si>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</si>
  <si>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</si>
  <si>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</si>
  <si>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</si>
  <si>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</si>
  <si>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</si>
  <si>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</si>
  <si>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</si>
  <si>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</si>
  <si>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</si>
  <si>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</si>
  <si>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</si>
  <si>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</si>
  <si>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</si>
  <si>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</si>
  <si>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</si>
  <si>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</si>
  <si>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</si>
  <si>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</si>
  <si>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</si>
  <si>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</si>
  <si>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</si>
  <si>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</si>
  <si>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</si>
  <si>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</si>
  <si>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</si>
  <si>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</si>
  <si>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</si>
  <si>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</si>
  <si>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</si>
  <si>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</si>
  <si>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</si>
  <si>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</si>
  <si>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</si>
  <si>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</si>
  <si>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</si>
  <si>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</si>
  <si>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</si>
  <si>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</si>
  <si>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</si>
  <si>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</si>
  <si>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</si>
  <si>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</si>
  <si>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</si>
  <si>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</si>
  <si>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</si>
  <si>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</si>
  <si>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</si>
  <si>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</si>
  <si>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</si>
  <si>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</si>
  <si>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</si>
  <si>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</si>
  <si>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</si>
  <si>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</si>
  <si>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</si>
  <si>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</si>
  <si>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</si>
  <si>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</si>
  <si>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</si>
  <si>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</si>
  <si>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</si>
  <si>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</si>
  <si>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</si>
  <si>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</si>
  <si>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</si>
  <si>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</si>
  <si>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</si>
  <si>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</si>
  <si>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</si>
  <si>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</si>
  <si>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</si>
  <si>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</si>
  <si>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</si>
  <si>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</si>
  <si>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</si>
  <si>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</si>
  <si>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</si>
  <si>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</si>
  <si>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</si>
  <si>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</si>
  <si>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</si>
  <si>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</si>
  <si>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</si>
  <si>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</si>
  <si>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</si>
  <si>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</si>
  <si>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</si>
  <si>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</si>
  <si>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</si>
  <si>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</si>
  <si>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</si>
  <si>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</si>
  <si>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</si>
  <si>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</si>
  <si>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</si>
  <si>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</si>
  <si>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</si>
  <si>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</si>
  <si>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</si>
  <si>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</si>
  <si>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</si>
  <si>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</si>
  <si>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</si>
  <si>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</si>
  <si>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</si>
  <si>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</si>
  <si>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</si>
  <si>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</si>
  <si>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</si>
  <si>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</si>
  <si>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</si>
  <si>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</si>
  <si>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</si>
  <si>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</si>
  <si>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</si>
  <si>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</si>
  <si>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</si>
  <si>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</si>
  <si>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</si>
  <si>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</si>
  <si>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</si>
  <si>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</si>
  <si>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</si>
  <si>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</si>
  <si>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</si>
  <si>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</si>
  <si>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</si>
  <si>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</si>
  <si>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</si>
  <si>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</si>
  <si>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</si>
  <si>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</si>
  <si>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</si>
  <si>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</si>
  <si>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</si>
  <si>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</si>
  <si>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</si>
  <si>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</si>
  <si>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</si>
  <si>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</si>
  <si>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</si>
  <si>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</si>
  <si>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</si>
  <si>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</si>
  <si>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</si>
  <si>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</si>
  <si>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</si>
  <si>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</si>
  <si>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</si>
  <si>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</si>
  <si>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</si>
  <si>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</si>
  <si>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</si>
  <si>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</si>
  <si>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</si>
  <si>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</si>
  <si>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</si>
  <si>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</si>
  <si>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</si>
  <si>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</si>
  <si>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</si>
  <si>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</si>
  <si>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</si>
  <si>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</si>
  <si>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</si>
  <si>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</si>
  <si>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</si>
  <si>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</si>
  <si>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</si>
  <si>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</si>
  <si>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</si>
  <si>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</si>
  <si>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</si>
  <si>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</si>
  <si>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</si>
  <si>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</si>
  <si>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</si>
  <si>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</si>
  <si>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</si>
  <si>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</si>
  <si>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</si>
  <si>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</si>
  <si>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</si>
  <si>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</si>
  <si>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</si>
  <si>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</si>
  <si>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</si>
  <si>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</si>
  <si>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</si>
  <si>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</si>
  <si>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</si>
  <si>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</si>
  <si>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</si>
  <si>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</si>
  <si>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</si>
  <si>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</si>
  <si>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</si>
  <si>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</si>
  <si>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</si>
  <si>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</si>
  <si>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</si>
  <si>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</si>
  <si>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</si>
  <si>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</si>
  <si>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</si>
  <si>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</si>
  <si>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</si>
  <si>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</si>
  <si>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</si>
  <si>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</si>
  <si>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</si>
  <si>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</si>
  <si>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</si>
  <si>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</si>
  <si>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</si>
  <si>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</si>
  <si>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</si>
  <si>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</si>
  <si>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</si>
  <si>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</si>
  <si>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</si>
  <si>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</si>
  <si>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</si>
  <si>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</si>
  <si>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</si>
  <si>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</si>
  <si>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</si>
  <si>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</si>
  <si>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</si>
  <si>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</si>
  <si>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</si>
  <si>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</si>
  <si>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</si>
  <si>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</si>
  <si>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</si>
  <si>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</si>
  <si>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</si>
  <si>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</si>
  <si>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</si>
  <si>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</si>
  <si>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</si>
  <si>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</si>
  <si>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</si>
  <si>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</si>
  <si>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</si>
  <si>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</si>
  <si>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</si>
  <si>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</si>
  <si>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</si>
  <si>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</si>
  <si>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</si>
  <si>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</si>
  <si>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</si>
  <si>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</si>
  <si>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</si>
  <si>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</si>
  <si>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</si>
  <si>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</si>
  <si>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</si>
  <si>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</si>
  <si>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</si>
  <si>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</si>
  <si>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</si>
  <si>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</si>
  <si>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</si>
  <si>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</si>
  <si>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</si>
  <si>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</si>
  <si>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</si>
  <si>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</si>
  <si>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</si>
  <si>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</si>
  <si>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</si>
  <si>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</si>
  <si>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</si>
  <si>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</si>
  <si>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</si>
  <si>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</si>
  <si>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</si>
  <si>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</si>
  <si>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</si>
  <si>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</si>
  <si>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</si>
  <si>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</si>
  <si>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</si>
  <si>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</si>
  <si>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</si>
  <si>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</si>
  <si>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</si>
  <si>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</si>
  <si>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</si>
  <si>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</si>
  <si>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</si>
  <si>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</si>
  <si>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</si>
  <si>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</si>
  <si>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</si>
  <si>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</si>
  <si>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</si>
  <si>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</si>
  <si>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</si>
  <si>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</si>
  <si>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</si>
  <si>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</si>
  <si>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</si>
  <si>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</si>
  <si>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</si>
  <si>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</si>
  <si>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</si>
  <si>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</si>
  <si>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</si>
  <si>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</si>
  <si>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</si>
  <si>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</si>
  <si>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</si>
  <si>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</si>
  <si>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</si>
  <si>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</si>
  <si>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</si>
  <si>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</si>
  <si>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</si>
  <si>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</si>
  <si>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</si>
  <si>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</si>
  <si>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</si>
  <si>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</si>
  <si>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</si>
  <si>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</si>
  <si>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</si>
  <si>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</si>
  <si>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</si>
  <si>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</si>
  <si>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</si>
  <si>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</si>
  <si>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</si>
  <si>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</si>
  <si>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</si>
  <si>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</si>
  <si>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</si>
  <si>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</si>
  <si>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</si>
  <si>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</si>
  <si>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</si>
  <si>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</si>
  <si>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</si>
  <si>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</si>
  <si>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</si>
  <si>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</si>
  <si>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</si>
  <si>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</si>
  <si>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</si>
  <si>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</si>
  <si>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</si>
  <si>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</si>
  <si>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</si>
  <si>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</si>
  <si>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</si>
  <si>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</si>
  <si>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</si>
  <si>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</si>
  <si>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</si>
  <si>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</si>
  <si>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</si>
  <si>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</si>
  <si>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</si>
  <si>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</si>
  <si>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</si>
  <si>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</si>
  <si>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</si>
  <si>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</si>
  <si>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</si>
  <si>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</si>
  <si>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</si>
  <si>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</si>
  <si>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</si>
  <si>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</si>
  <si>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</si>
  <si>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</si>
  <si>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</si>
  <si>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</si>
  <si>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</si>
  <si>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</si>
  <si>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</si>
  <si>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</si>
  <si>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</si>
  <si>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</si>
  <si>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</si>
  <si>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</si>
  <si>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</si>
  <si>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</si>
  <si>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</si>
  <si>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</si>
  <si>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</si>
  <si>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</si>
  <si>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</si>
  <si>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</si>
  <si>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</si>
  <si>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</si>
  <si>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</si>
  <si>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</si>
  <si>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</si>
  <si>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</si>
  <si>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</si>
  <si>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</si>
  <si>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</si>
  <si>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</si>
  <si>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</si>
  <si>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</si>
  <si>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</si>
  <si>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</si>
  <si>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</si>
  <si>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</si>
  <si>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</si>
  <si>
    <t>MANTENIMIENTO A TODO COSTO DE LOS TANQUES DE RESERVA DE LOS EDIFICIOS DE APARTAMENTOS DE VIVIENDAS FISCALES PARA EL PERSONAL DE OFICIALES Y SUBOFICIALES EN BOGOTA</t>
  </si>
  <si>
    <t>INTERVENTORÍA TÉCNICA, ADMINISTRATIVA, FINANCIERA, CONTABLE, JURÍDICA Y AMBIENTAL A LAS OBRAS DE MANTENIMIENTO A TODO COSTO DE LOS TANQUES DE RESERVA DE LOS EDIFICIOS DE APARTAMENTOS DE VIVIENDAS FISCALES PARA EL PERSONAL DE OFICIALES Y SUBOFICIALES EN BOGOTA.</t>
  </si>
  <si>
    <t>RPESTACIÓN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t>
  </si>
  <si>
    <t>PRESTACIÓN DE SERVICIO PARA APOYO ADMINISTRATIVO AL ÁREA DE ATENCIÓN AL USUARIO</t>
  </si>
  <si>
    <t>SUMINISTRO  DE VIDRIOS TEMPLADOS, ESPEJOS Y ACCESORIOS PARA  MECANISMOS DE VIDRIO, PARA EL MANTENIMIENTO  DE LAS VIVIENDAS FISCALES DEL INSTITUTO DE CASAS FISCALES 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</si>
</sst>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b/>
      <sz val="8"/>
      <color indexed="81"/>
      <name val="Tahoma"/>
      <family val="2"/>
    </font>
    <font>
      <sz val="8"/>
      <color indexed="81"/>
      <name val="Tahoma"/>
      <family val="2"/>
    </font>
  </fonts>
  <fills count="40">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00FF00"/>
        <bgColor indexed="64"/>
      </patternFill>
    </fill>
    <fill>
      <patternFill patternType="solid">
        <fgColor rgb="FFFF33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97">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6" fillId="13" borderId="1" xfId="1" applyNumberFormat="1" applyFont="1" applyFill="1" applyBorder="1" applyAlignment="1" applyProtection="1">
      <alignment horizontal="center" vertical="center" wrapText="1"/>
      <protection locked="0"/>
    </xf>
    <xf numFmtId="169" fontId="16" fillId="13" borderId="1" xfId="0" applyNumberFormat="1" applyFont="1" applyFill="1" applyBorder="1" applyAlignment="1" applyProtection="1">
      <alignment horizontal="center" vertical="center"/>
      <protection locked="0"/>
    </xf>
    <xf numFmtId="169" fontId="17" fillId="13" borderId="1" xfId="1" applyNumberFormat="1" applyFont="1" applyFill="1" applyBorder="1" applyAlignment="1" applyProtection="1">
      <alignment horizontal="center" vertical="center" wrapText="1"/>
      <protection locked="0"/>
    </xf>
    <xf numFmtId="0" fontId="16" fillId="0" borderId="7" xfId="0" applyFont="1" applyFill="1" applyBorder="1" applyAlignment="1" applyProtection="1">
      <alignment vertical="center"/>
      <protection locked="0"/>
    </xf>
    <xf numFmtId="0" fontId="16" fillId="0" borderId="1" xfId="0" applyFont="1" applyFill="1" applyBorder="1" applyAlignment="1" applyProtection="1">
      <alignment horizontal="center" vertical="center"/>
      <protection locked="0"/>
    </xf>
    <xf numFmtId="4" fontId="17" fillId="0" borderId="1" xfId="6"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169" fontId="17" fillId="38" borderId="1" xfId="1" applyNumberFormat="1" applyFont="1" applyFill="1" applyBorder="1" applyAlignment="1" applyProtection="1">
      <alignment horizontal="right" vertical="center" wrapText="1"/>
      <protection locked="0"/>
    </xf>
    <xf numFmtId="4" fontId="17" fillId="38" borderId="1" xfId="1" applyNumberFormat="1" applyFont="1" applyFill="1" applyBorder="1" applyAlignment="1" applyProtection="1">
      <alignment horizontal="right" vertical="center" wrapText="1"/>
      <protection locked="0"/>
    </xf>
    <xf numFmtId="169" fontId="17" fillId="39" borderId="1" xfId="1" applyNumberFormat="1" applyFont="1" applyFill="1" applyBorder="1" applyAlignment="1" applyProtection="1">
      <alignment horizontal="right" vertical="center" wrapText="1"/>
      <protection locked="0"/>
    </xf>
    <xf numFmtId="0" fontId="16" fillId="39" borderId="1" xfId="0" applyFont="1" applyFill="1" applyBorder="1" applyAlignment="1" applyProtection="1">
      <alignment horizontal="center" vertical="center"/>
      <protection locked="0"/>
    </xf>
    <xf numFmtId="0" fontId="16" fillId="39" borderId="6" xfId="0" applyFont="1" applyFill="1" applyBorder="1" applyAlignment="1" applyProtection="1">
      <alignment horizontal="center" vertical="center" wrapText="1"/>
      <protection locked="0"/>
    </xf>
    <xf numFmtId="0" fontId="17" fillId="39" borderId="1" xfId="0" applyFont="1" applyFill="1" applyBorder="1" applyAlignment="1">
      <alignment vertical="center" wrapText="1"/>
    </xf>
    <xf numFmtId="164" fontId="17" fillId="39" borderId="1" xfId="6" applyNumberFormat="1" applyFont="1" applyFill="1" applyBorder="1" applyAlignment="1">
      <alignment horizontal="center" vertical="center" wrapText="1"/>
    </xf>
    <xf numFmtId="167" fontId="17" fillId="39" borderId="1" xfId="6" applyNumberFormat="1" applyFont="1" applyFill="1" applyBorder="1" applyAlignment="1" applyProtection="1">
      <alignment horizontal="center" vertical="center" wrapText="1"/>
      <protection locked="0"/>
    </xf>
    <xf numFmtId="4" fontId="17" fillId="39" borderId="1" xfId="6" applyNumberFormat="1" applyFont="1" applyFill="1" applyBorder="1" applyAlignment="1" applyProtection="1">
      <alignment horizontal="right" vertical="center" wrapText="1"/>
      <protection locked="0"/>
    </xf>
    <xf numFmtId="169" fontId="16" fillId="39" borderId="1" xfId="1" applyNumberFormat="1" applyFont="1" applyFill="1" applyBorder="1" applyAlignment="1" applyProtection="1">
      <alignment horizontal="center" vertical="center"/>
      <protection locked="0"/>
    </xf>
    <xf numFmtId="4" fontId="17" fillId="39" borderId="1" xfId="1" applyNumberFormat="1" applyFont="1" applyFill="1" applyBorder="1" applyAlignment="1" applyProtection="1">
      <alignment horizontal="right" vertical="center" wrapText="1"/>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CC"/>
      <color rgb="FF00FF00"/>
      <color rgb="FFC80DFB"/>
      <color rgb="FF10F2F8"/>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389"/>
  <sheetViews>
    <sheetView showGridLines="0" tabSelected="1" topLeftCell="J6" zoomScale="70" zoomScaleNormal="70" workbookViewId="0">
      <pane ySplit="2" topLeftCell="A245" activePane="bottomLeft" state="frozen"/>
      <selection activeCell="B6" sqref="B6"/>
      <selection pane="bottomLeft" activeCell="S379" sqref="S379"/>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S207-#REF!</f>
        <v>#REF!</v>
      </c>
      <c r="W5" s="353"/>
      <c r="X5" s="422" t="e">
        <f>X207-#REF!</f>
        <v>#REF!</v>
      </c>
      <c r="Y5" s="422" t="e">
        <f>Y207-#REF!</f>
        <v>#REF!</v>
      </c>
      <c r="Z5" s="422" t="e">
        <f>Z207-#REF!</f>
        <v>#REF!</v>
      </c>
      <c r="AA5" s="422" t="e">
        <f>AA207-#REF!</f>
        <v>#REF!</v>
      </c>
      <c r="AB5" s="422" t="e">
        <f>AB207-#REF!</f>
        <v>#REF!</v>
      </c>
      <c r="AC5" s="422" t="e">
        <f>AC207-#REF!</f>
        <v>#REF!</v>
      </c>
      <c r="AD5" s="422" t="e">
        <f>AD207-#REF!</f>
        <v>#REF!</v>
      </c>
      <c r="AE5" s="422" t="e">
        <f>AE207-#REF!</f>
        <v>#REF!</v>
      </c>
      <c r="AF5" s="422" t="e">
        <f>AF207-#REF!</f>
        <v>#REF!</v>
      </c>
      <c r="AG5" s="422" t="e">
        <f>AG207-#REF!</f>
        <v>#REF!</v>
      </c>
      <c r="AH5" s="422" t="e">
        <f>AH207-#REF!</f>
        <v>#REF!</v>
      </c>
      <c r="AI5" s="422" t="e">
        <f>AI207-#REF!</f>
        <v>#REF!</v>
      </c>
      <c r="AJ5" s="422" t="e">
        <f>AJ207-#REF!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3298570000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244720794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-154720794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244720794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-154720794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244720794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-154720794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4720794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-4720794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4720794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588">
        <f>100000000+30000000+153240000+8000000+20000000-100000000-14089206-14760000-9760000-160000000-7910000</f>
        <v>4720794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+R27+R97</f>
        <v>#REF!</v>
      </c>
      <c r="S26" s="47">
        <f>+S27+S97</f>
        <v>3053849206</v>
      </c>
      <c r="T26" s="47" t="e">
        <f>+T27+T97</f>
        <v>#REF!</v>
      </c>
      <c r="U26" s="48"/>
      <c r="V26" s="48"/>
      <c r="W26" s="355"/>
      <c r="X26" s="47" t="e">
        <f t="shared" ref="X26:AI26" si="29">+X27+X97</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529400000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90">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90">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90">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213000000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90">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193000000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193000000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90">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t="e">
        <f>+R98+R109+R113+R190</f>
        <v>#REF!</v>
      </c>
      <c r="S97" s="56">
        <f>+S98+S109+S113+S190</f>
        <v>2524449206</v>
      </c>
      <c r="T97" s="56" t="e">
        <f>+T98+T109+T113+T190</f>
        <v>#REF!</v>
      </c>
      <c r="U97" s="57"/>
      <c r="V97" s="57"/>
      <c r="W97" s="356"/>
      <c r="X97" s="56" t="e">
        <f t="shared" ref="X97:AI97" si="115">+X98+X109+X113+X190</f>
        <v>#REF!</v>
      </c>
      <c r="Y97" s="56" t="e">
        <f t="shared" si="115"/>
        <v>#REF!</v>
      </c>
      <c r="Z97" s="56" t="e">
        <f t="shared" si="115"/>
        <v>#REF!</v>
      </c>
      <c r="AA97" s="56" t="e">
        <f t="shared" si="115"/>
        <v>#REF!</v>
      </c>
      <c r="AB97" s="56" t="e">
        <f t="shared" si="115"/>
        <v>#REF!</v>
      </c>
      <c r="AC97" s="56" t="e">
        <f t="shared" si="115"/>
        <v>#REF!</v>
      </c>
      <c r="AD97" s="56" t="e">
        <f t="shared" si="115"/>
        <v>#REF!</v>
      </c>
      <c r="AE97" s="56" t="e">
        <f t="shared" si="115"/>
        <v>#REF!</v>
      </c>
      <c r="AF97" s="56" t="e">
        <f t="shared" si="115"/>
        <v>#REF!</v>
      </c>
      <c r="AG97" s="56" t="e">
        <f t="shared" si="115"/>
        <v>#REF!</v>
      </c>
      <c r="AH97" s="56" t="e">
        <f t="shared" si="115"/>
        <v>#REF!</v>
      </c>
      <c r="AI97" s="56" t="e">
        <f t="shared" si="115"/>
        <v>#REF!</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347600000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298100000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298100000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492000000-143900000-30000000- 50000000+30000000</f>
        <v>298100000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t="e">
        <f t="shared" ref="R109" si="127">R110</f>
        <v>#REF!</v>
      </c>
      <c r="S109" s="66">
        <f>S110</f>
        <v>0</v>
      </c>
      <c r="T109" s="66" t="e">
        <f>T110</f>
        <v>#REF!</v>
      </c>
      <c r="U109" s="67"/>
      <c r="V109" s="67"/>
      <c r="W109" s="248"/>
      <c r="X109" s="66" t="e">
        <f t="shared" ref="X109:AI109" si="128">X110</f>
        <v>#REF!</v>
      </c>
      <c r="Y109" s="66" t="e">
        <f t="shared" si="128"/>
        <v>#REF!</v>
      </c>
      <c r="Z109" s="66" t="e">
        <f t="shared" si="128"/>
        <v>#REF!</v>
      </c>
      <c r="AA109" s="66" t="e">
        <f t="shared" si="128"/>
        <v>#REF!</v>
      </c>
      <c r="AB109" s="66" t="e">
        <f t="shared" si="128"/>
        <v>#REF!</v>
      </c>
      <c r="AC109" s="66" t="e">
        <f t="shared" si="128"/>
        <v>#REF!</v>
      </c>
      <c r="AD109" s="66" t="e">
        <f t="shared" si="128"/>
        <v>#REF!</v>
      </c>
      <c r="AE109" s="66" t="e">
        <f t="shared" si="128"/>
        <v>#REF!</v>
      </c>
      <c r="AF109" s="66" t="e">
        <f t="shared" si="128"/>
        <v>#REF!</v>
      </c>
      <c r="AG109" s="66" t="e">
        <f t="shared" si="128"/>
        <v>#REF!</v>
      </c>
      <c r="AH109" s="66" t="e">
        <f t="shared" si="128"/>
        <v>#REF!</v>
      </c>
      <c r="AI109" s="66" t="e">
        <f t="shared" si="128"/>
        <v>#REF!</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t="e">
        <f>#REF!</f>
        <v>#REF!</v>
      </c>
      <c r="S110" s="74">
        <f>S111</f>
        <v>0</v>
      </c>
      <c r="T110" s="74" t="e">
        <f>#REF!</f>
        <v>#REF!</v>
      </c>
      <c r="U110" s="75"/>
      <c r="V110" s="75"/>
      <c r="W110" s="69"/>
      <c r="X110" s="74" t="e">
        <f>#REF!</f>
        <v>#REF!</v>
      </c>
      <c r="Y110" s="74" t="e">
        <f>#REF!</f>
        <v>#REF!</v>
      </c>
      <c r="Z110" s="74" t="e">
        <f>#REF!</f>
        <v>#REF!</v>
      </c>
      <c r="AA110" s="74" t="e">
        <f>#REF!</f>
        <v>#REF!</v>
      </c>
      <c r="AB110" s="74" t="e">
        <f>#REF!</f>
        <v>#REF!</v>
      </c>
      <c r="AC110" s="74" t="e">
        <f>#REF!</f>
        <v>#REF!</v>
      </c>
      <c r="AD110" s="74" t="e">
        <f>#REF!</f>
        <v>#REF!</v>
      </c>
      <c r="AE110" s="74" t="e">
        <f>#REF!</f>
        <v>#REF!</v>
      </c>
      <c r="AF110" s="74" t="e">
        <f>#REF!</f>
        <v>#REF!</v>
      </c>
      <c r="AG110" s="74" t="e">
        <f>#REF!</f>
        <v>#REF!</v>
      </c>
      <c r="AH110" s="74" t="e">
        <f>#REF!</f>
        <v>#REF!</v>
      </c>
      <c r="AI110" s="74" t="e">
        <f>#REF!</f>
        <v>#REF!</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29">R112</f>
        <v>10000000</v>
      </c>
      <c r="S111" s="82">
        <f t="shared" si="129"/>
        <v>0</v>
      </c>
      <c r="T111" s="82">
        <f t="shared" si="129"/>
        <v>10000000</v>
      </c>
      <c r="U111" s="83"/>
      <c r="V111" s="83"/>
      <c r="W111" s="118"/>
      <c r="X111" s="82">
        <f t="shared" ref="X111:AI111" si="130">X112</f>
        <v>0</v>
      </c>
      <c r="Y111" s="82">
        <f t="shared" si="130"/>
        <v>0</v>
      </c>
      <c r="Z111" s="82">
        <f t="shared" si="130"/>
        <v>0</v>
      </c>
      <c r="AA111" s="82">
        <f t="shared" si="130"/>
        <v>0</v>
      </c>
      <c r="AB111" s="82">
        <f t="shared" si="130"/>
        <v>0</v>
      </c>
      <c r="AC111" s="82">
        <f t="shared" si="130"/>
        <v>0</v>
      </c>
      <c r="AD111" s="82">
        <f t="shared" si="130"/>
        <v>0</v>
      </c>
      <c r="AE111" s="82">
        <f t="shared" si="130"/>
        <v>0</v>
      </c>
      <c r="AF111" s="82">
        <f t="shared" si="130"/>
        <v>0</v>
      </c>
      <c r="AG111" s="82">
        <f t="shared" si="130"/>
        <v>0</v>
      </c>
      <c r="AH111" s="82">
        <f t="shared" si="130"/>
        <v>0</v>
      </c>
      <c r="AI111" s="82">
        <f t="shared" si="130"/>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60" t="s">
        <v>105516</v>
      </c>
      <c r="C113" s="60" t="s">
        <v>105573</v>
      </c>
      <c r="D113" s="60" t="s">
        <v>105573</v>
      </c>
      <c r="E113" s="60" t="s">
        <v>105573</v>
      </c>
      <c r="F113" s="60" t="s">
        <v>105553</v>
      </c>
      <c r="G113" s="60"/>
      <c r="H113" s="60"/>
      <c r="I113" s="60"/>
      <c r="J113" s="373"/>
      <c r="K113" s="248"/>
      <c r="L113" s="62"/>
      <c r="M113" s="63" t="s">
        <v>106978</v>
      </c>
      <c r="N113" s="64"/>
      <c r="O113" s="64"/>
      <c r="P113" s="65"/>
      <c r="Q113" s="65"/>
      <c r="R113" s="66">
        <f>+R114+R120+R175+R161+R167</f>
        <v>2000780000</v>
      </c>
      <c r="S113" s="66">
        <f>+S114+S120+S175+S161+S167</f>
        <v>1851849206</v>
      </c>
      <c r="T113" s="66">
        <f>+T114+T120+T175+T161+T167</f>
        <v>772000000</v>
      </c>
      <c r="U113" s="67"/>
      <c r="V113" s="67"/>
      <c r="W113" s="248"/>
      <c r="X113" s="66">
        <f t="shared" ref="X113:AI113" si="131">+X114+X120+X175+X161+X167</f>
        <v>31200000</v>
      </c>
      <c r="Y113" s="66">
        <f t="shared" si="131"/>
        <v>66200000</v>
      </c>
      <c r="Z113" s="66">
        <f t="shared" si="131"/>
        <v>81700000</v>
      </c>
      <c r="AA113" s="66">
        <f t="shared" si="131"/>
        <v>89200000</v>
      </c>
      <c r="AB113" s="66">
        <f t="shared" si="131"/>
        <v>81700000</v>
      </c>
      <c r="AC113" s="66">
        <f t="shared" si="131"/>
        <v>166700000</v>
      </c>
      <c r="AD113" s="66">
        <f t="shared" si="131"/>
        <v>50500000</v>
      </c>
      <c r="AE113" s="66">
        <f t="shared" si="131"/>
        <v>40500000</v>
      </c>
      <c r="AF113" s="66">
        <f t="shared" si="131"/>
        <v>15500000</v>
      </c>
      <c r="AG113" s="66">
        <f t="shared" si="131"/>
        <v>15500000</v>
      </c>
      <c r="AH113" s="66">
        <f t="shared" si="131"/>
        <v>133000000</v>
      </c>
      <c r="AI113" s="66">
        <f t="shared" si="131"/>
        <v>15500000</v>
      </c>
      <c r="AJ113" s="548">
        <v>0</v>
      </c>
    </row>
    <row r="114" spans="2:36" x14ac:dyDescent="0.2">
      <c r="B114" s="313" t="s">
        <v>105516</v>
      </c>
      <c r="C114" s="313" t="s">
        <v>105573</v>
      </c>
      <c r="D114" s="313" t="s">
        <v>105573</v>
      </c>
      <c r="E114" s="313" t="s">
        <v>105573</v>
      </c>
      <c r="F114" s="313" t="s">
        <v>105553</v>
      </c>
      <c r="G114" s="313" t="s">
        <v>105535</v>
      </c>
      <c r="H114" s="69"/>
      <c r="I114" s="69"/>
      <c r="J114" s="374"/>
      <c r="K114" s="69"/>
      <c r="L114" s="70"/>
      <c r="M114" s="71" t="s">
        <v>106988</v>
      </c>
      <c r="N114" s="72"/>
      <c r="O114" s="72"/>
      <c r="P114" s="73"/>
      <c r="Q114" s="73"/>
      <c r="R114" s="74">
        <f t="shared" ref="R114:T114" si="132">+R115</f>
        <v>188100000</v>
      </c>
      <c r="S114" s="74">
        <f t="shared" si="132"/>
        <v>126000000</v>
      </c>
      <c r="T114" s="74">
        <f t="shared" si="132"/>
        <v>90000000</v>
      </c>
      <c r="U114" s="75"/>
      <c r="V114" s="75"/>
      <c r="W114" s="69"/>
      <c r="X114" s="74">
        <f t="shared" ref="X114:AI114" si="133">+X115</f>
        <v>0</v>
      </c>
      <c r="Y114" s="74">
        <f t="shared" si="133"/>
        <v>0</v>
      </c>
      <c r="Z114" s="74">
        <f t="shared" si="133"/>
        <v>0</v>
      </c>
      <c r="AA114" s="74">
        <f t="shared" si="133"/>
        <v>0</v>
      </c>
      <c r="AB114" s="74">
        <f t="shared" si="133"/>
        <v>0</v>
      </c>
      <c r="AC114" s="74">
        <f t="shared" si="133"/>
        <v>0</v>
      </c>
      <c r="AD114" s="74">
        <f t="shared" si="133"/>
        <v>0</v>
      </c>
      <c r="AE114" s="74">
        <f t="shared" si="133"/>
        <v>0</v>
      </c>
      <c r="AF114" s="74">
        <f t="shared" si="133"/>
        <v>0</v>
      </c>
      <c r="AG114" s="74">
        <f t="shared" si="133"/>
        <v>0</v>
      </c>
      <c r="AH114" s="74">
        <f t="shared" si="133"/>
        <v>0</v>
      </c>
      <c r="AI114" s="74">
        <f t="shared" si="133"/>
        <v>0</v>
      </c>
      <c r="AJ114" s="548">
        <v>0</v>
      </c>
    </row>
    <row r="115" spans="2:36" x14ac:dyDescent="0.2">
      <c r="B115" s="77" t="s">
        <v>105516</v>
      </c>
      <c r="C115" s="77" t="s">
        <v>105573</v>
      </c>
      <c r="D115" s="77" t="s">
        <v>105573</v>
      </c>
      <c r="E115" s="77" t="s">
        <v>105573</v>
      </c>
      <c r="F115" s="77" t="s">
        <v>105553</v>
      </c>
      <c r="G115" s="77" t="s">
        <v>105535</v>
      </c>
      <c r="H115" s="77" t="s">
        <v>105520</v>
      </c>
      <c r="I115" s="77"/>
      <c r="J115" s="375"/>
      <c r="K115" s="77"/>
      <c r="L115" s="395"/>
      <c r="M115" s="79" t="s">
        <v>106990</v>
      </c>
      <c r="N115" s="80"/>
      <c r="O115" s="80"/>
      <c r="P115" s="81"/>
      <c r="Q115" s="81"/>
      <c r="R115" s="82">
        <f>SUM(R116:R118)</f>
        <v>188100000</v>
      </c>
      <c r="S115" s="82">
        <f>SUM(S116:S118)</f>
        <v>126000000</v>
      </c>
      <c r="T115" s="82">
        <f>SUM(T116:T118)</f>
        <v>90000000</v>
      </c>
      <c r="U115" s="83"/>
      <c r="V115" s="83"/>
      <c r="W115" s="118"/>
      <c r="X115" s="82"/>
      <c r="Y115" s="82"/>
      <c r="Z115" s="82"/>
      <c r="AA115" s="82"/>
      <c r="AB115" s="82"/>
      <c r="AC115" s="82"/>
      <c r="AD115" s="82"/>
      <c r="AE115" s="82"/>
      <c r="AF115" s="82"/>
      <c r="AG115" s="82"/>
      <c r="AH115" s="82"/>
      <c r="AI115" s="82"/>
      <c r="AJ115" s="548">
        <v>0</v>
      </c>
    </row>
    <row r="116" spans="2:36" ht="171.75" customHeight="1" x14ac:dyDescent="0.2">
      <c r="B116" s="85"/>
      <c r="C116" s="86"/>
      <c r="D116" s="86"/>
      <c r="E116" s="86"/>
      <c r="F116" s="86"/>
      <c r="G116" s="86"/>
      <c r="H116" s="86"/>
      <c r="I116" s="86"/>
      <c r="J116" s="86"/>
      <c r="K116" s="93" t="s">
        <v>106987</v>
      </c>
      <c r="L116" s="88" t="s">
        <v>113252</v>
      </c>
      <c r="M116" s="89" t="s">
        <v>113824</v>
      </c>
      <c r="N116" s="90">
        <v>45666</v>
      </c>
      <c r="O116" s="90">
        <v>45666</v>
      </c>
      <c r="P116" s="91" t="s">
        <v>113814</v>
      </c>
      <c r="Q116" s="91" t="s">
        <v>113498</v>
      </c>
      <c r="R116" s="456">
        <v>62700000</v>
      </c>
      <c r="S116" s="430">
        <f>6000000*6+6000000</f>
        <v>42000000</v>
      </c>
      <c r="T116" s="430">
        <f>6000000*5</f>
        <v>30000000</v>
      </c>
      <c r="U116" s="121" t="s">
        <v>113031</v>
      </c>
      <c r="V116" s="93" t="s">
        <v>113031</v>
      </c>
      <c r="W116" s="359" t="s">
        <v>113074</v>
      </c>
      <c r="X116" s="548"/>
      <c r="Y116" s="548"/>
      <c r="Z116" s="548"/>
      <c r="AA116" s="548"/>
      <c r="AB116" s="548"/>
      <c r="AC116" s="548"/>
      <c r="AD116" s="548"/>
      <c r="AE116" s="548"/>
      <c r="AF116" s="548"/>
      <c r="AG116" s="548"/>
      <c r="AH116" s="548"/>
      <c r="AI116" s="548"/>
      <c r="AJ116" s="548">
        <v>0</v>
      </c>
    </row>
    <row r="117" spans="2:36" ht="84.75" customHeight="1" x14ac:dyDescent="0.2">
      <c r="B117" s="85"/>
      <c r="C117" s="86"/>
      <c r="D117" s="86"/>
      <c r="E117" s="86"/>
      <c r="F117" s="86"/>
      <c r="G117" s="86"/>
      <c r="H117" s="86"/>
      <c r="I117" s="86"/>
      <c r="J117" s="86"/>
      <c r="K117" s="93" t="s">
        <v>106987</v>
      </c>
      <c r="L117" s="88" t="s">
        <v>113252</v>
      </c>
      <c r="M117" s="89" t="s">
        <v>113253</v>
      </c>
      <c r="N117" s="90">
        <v>45666</v>
      </c>
      <c r="O117" s="90">
        <v>45666</v>
      </c>
      <c r="P117" s="91" t="s">
        <v>113814</v>
      </c>
      <c r="Q117" s="91" t="s">
        <v>113053</v>
      </c>
      <c r="R117" s="456">
        <v>62700000</v>
      </c>
      <c r="S117" s="430">
        <f>6000000*6+6000000</f>
        <v>42000000</v>
      </c>
      <c r="T117" s="430">
        <f>6000000*5</f>
        <v>30000000</v>
      </c>
      <c r="U117" s="121" t="s">
        <v>113031</v>
      </c>
      <c r="V117" s="93" t="s">
        <v>113031</v>
      </c>
      <c r="W117" s="93" t="s">
        <v>113072</v>
      </c>
      <c r="X117" s="548"/>
      <c r="Y117" s="548"/>
      <c r="Z117" s="548"/>
      <c r="AA117" s="548"/>
      <c r="AB117" s="548"/>
      <c r="AC117" s="548"/>
      <c r="AD117" s="548"/>
      <c r="AE117" s="548"/>
      <c r="AF117" s="548"/>
      <c r="AG117" s="548"/>
      <c r="AH117" s="548"/>
      <c r="AI117" s="548"/>
      <c r="AJ117" s="548">
        <v>0</v>
      </c>
    </row>
    <row r="118" spans="2:36" ht="90" customHeight="1" x14ac:dyDescent="0.2">
      <c r="B118" s="85"/>
      <c r="C118" s="86"/>
      <c r="D118" s="86"/>
      <c r="E118" s="86"/>
      <c r="F118" s="86"/>
      <c r="G118" s="86"/>
      <c r="H118" s="86"/>
      <c r="I118" s="86"/>
      <c r="J118" s="86"/>
      <c r="K118" s="93" t="s">
        <v>106987</v>
      </c>
      <c r="L118" s="88" t="s">
        <v>113252</v>
      </c>
      <c r="M118" s="89" t="s">
        <v>113810</v>
      </c>
      <c r="N118" s="90">
        <v>45666</v>
      </c>
      <c r="O118" s="90">
        <v>45666</v>
      </c>
      <c r="P118" s="91" t="s">
        <v>113814</v>
      </c>
      <c r="Q118" s="91" t="s">
        <v>113053</v>
      </c>
      <c r="R118" s="456">
        <v>62700000</v>
      </c>
      <c r="S118" s="430">
        <f>6000000*6+6000000</f>
        <v>42000000</v>
      </c>
      <c r="T118" s="430">
        <f>6000000*5</f>
        <v>30000000</v>
      </c>
      <c r="U118" s="121" t="s">
        <v>113031</v>
      </c>
      <c r="V118" s="93" t="s">
        <v>113031</v>
      </c>
      <c r="W118" s="93" t="s">
        <v>113072</v>
      </c>
      <c r="X118" s="548"/>
      <c r="Y118" s="548"/>
      <c r="Z118" s="548"/>
      <c r="AA118" s="548"/>
      <c r="AB118" s="548"/>
      <c r="AC118" s="548"/>
      <c r="AD118" s="548"/>
      <c r="AE118" s="548"/>
      <c r="AF118" s="548"/>
      <c r="AG118" s="548"/>
      <c r="AH118" s="548"/>
      <c r="AI118" s="548"/>
      <c r="AJ118" s="548">
        <v>0</v>
      </c>
    </row>
    <row r="119" spans="2:36" ht="90" customHeight="1" x14ac:dyDescent="0.2">
      <c r="B119" s="85"/>
      <c r="C119" s="86"/>
      <c r="D119" s="86"/>
      <c r="E119" s="86"/>
      <c r="F119" s="86"/>
      <c r="G119" s="86"/>
      <c r="H119" s="86"/>
      <c r="I119" s="86"/>
      <c r="J119" s="86"/>
      <c r="K119" s="93" t="s">
        <v>106987</v>
      </c>
      <c r="L119" s="88" t="s">
        <v>113252</v>
      </c>
      <c r="M119" s="89" t="s">
        <v>113859</v>
      </c>
      <c r="N119" s="90">
        <v>45789</v>
      </c>
      <c r="O119" s="90">
        <v>45789</v>
      </c>
      <c r="P119" s="91" t="s">
        <v>113045</v>
      </c>
      <c r="Q119" s="91" t="s">
        <v>113053</v>
      </c>
      <c r="R119" s="350"/>
      <c r="S119" s="430">
        <f>12000000+6000000</f>
        <v>18000000</v>
      </c>
      <c r="T119" s="430"/>
      <c r="U119" s="121"/>
      <c r="V119" s="93" t="s">
        <v>113031</v>
      </c>
      <c r="W119" s="93" t="s">
        <v>113072</v>
      </c>
      <c r="X119" s="548"/>
      <c r="Y119" s="548"/>
      <c r="Z119" s="548"/>
      <c r="AA119" s="548"/>
      <c r="AB119" s="548"/>
      <c r="AC119" s="548"/>
      <c r="AD119" s="548"/>
      <c r="AE119" s="548"/>
      <c r="AF119" s="548"/>
      <c r="AG119" s="548"/>
      <c r="AH119" s="548"/>
      <c r="AI119" s="548"/>
      <c r="AJ119" s="548"/>
    </row>
    <row r="120" spans="2:36" ht="45" x14ac:dyDescent="0.2">
      <c r="B120" s="313" t="s">
        <v>105516</v>
      </c>
      <c r="C120" s="313" t="s">
        <v>105573</v>
      </c>
      <c r="D120" s="313" t="s">
        <v>105573</v>
      </c>
      <c r="E120" s="313" t="s">
        <v>105573</v>
      </c>
      <c r="F120" s="313" t="s">
        <v>105553</v>
      </c>
      <c r="G120" s="313" t="s">
        <v>105538</v>
      </c>
      <c r="H120" s="69"/>
      <c r="I120" s="69"/>
      <c r="J120" s="374"/>
      <c r="K120" s="69"/>
      <c r="L120" s="70"/>
      <c r="M120" s="71" t="s">
        <v>113228</v>
      </c>
      <c r="N120" s="72"/>
      <c r="O120" s="72"/>
      <c r="P120" s="73"/>
      <c r="Q120" s="73"/>
      <c r="R120" s="74">
        <f t="shared" ref="R120:T120" si="134">+R121</f>
        <v>1547800000</v>
      </c>
      <c r="S120" s="74">
        <f>+S121</f>
        <v>1458600000</v>
      </c>
      <c r="T120" s="74">
        <f t="shared" si="134"/>
        <v>645000000</v>
      </c>
      <c r="U120" s="75"/>
      <c r="V120" s="75"/>
      <c r="W120" s="358"/>
      <c r="X120" s="74">
        <f t="shared" ref="X120:AI120" si="135">+X121</f>
        <v>31200000</v>
      </c>
      <c r="Y120" s="74">
        <f t="shared" si="135"/>
        <v>66200000</v>
      </c>
      <c r="Z120" s="74">
        <f t="shared" si="135"/>
        <v>81700000</v>
      </c>
      <c r="AA120" s="74">
        <f t="shared" si="135"/>
        <v>89200000</v>
      </c>
      <c r="AB120" s="74">
        <f t="shared" si="135"/>
        <v>81700000</v>
      </c>
      <c r="AC120" s="74">
        <f t="shared" si="135"/>
        <v>166700000</v>
      </c>
      <c r="AD120" s="74">
        <f t="shared" si="135"/>
        <v>50500000</v>
      </c>
      <c r="AE120" s="74">
        <f t="shared" si="135"/>
        <v>40500000</v>
      </c>
      <c r="AF120" s="74">
        <f t="shared" si="135"/>
        <v>15500000</v>
      </c>
      <c r="AG120" s="74">
        <f t="shared" si="135"/>
        <v>15500000</v>
      </c>
      <c r="AH120" s="74">
        <f t="shared" si="135"/>
        <v>133000000</v>
      </c>
      <c r="AI120" s="74">
        <f t="shared" si="135"/>
        <v>15500000</v>
      </c>
      <c r="AJ120" s="548">
        <v>0</v>
      </c>
    </row>
    <row r="121" spans="2:36" ht="30" x14ac:dyDescent="0.2">
      <c r="B121" s="77" t="s">
        <v>105516</v>
      </c>
      <c r="C121" s="77" t="s">
        <v>105573</v>
      </c>
      <c r="D121" s="77" t="s">
        <v>105573</v>
      </c>
      <c r="E121" s="77" t="s">
        <v>105573</v>
      </c>
      <c r="F121" s="77" t="s">
        <v>105553</v>
      </c>
      <c r="G121" s="77" t="s">
        <v>105538</v>
      </c>
      <c r="H121" s="77" t="s">
        <v>105520</v>
      </c>
      <c r="I121" s="77"/>
      <c r="J121" s="375"/>
      <c r="K121" s="77"/>
      <c r="L121" s="395"/>
      <c r="M121" s="79" t="s">
        <v>107000</v>
      </c>
      <c r="N121" s="80"/>
      <c r="O121" s="80"/>
      <c r="P121" s="81"/>
      <c r="Q121" s="81"/>
      <c r="R121" s="82">
        <f>+R122+R152+R154</f>
        <v>1547800000</v>
      </c>
      <c r="S121" s="82">
        <f>+S122+S152+S154</f>
        <v>1458600000</v>
      </c>
      <c r="T121" s="82">
        <f>+T122+T152+T154</f>
        <v>645000000</v>
      </c>
      <c r="U121" s="83"/>
      <c r="V121" s="83"/>
      <c r="W121" s="118"/>
      <c r="X121" s="82">
        <f t="shared" ref="X121:AI121" si="136">+X122+X152+X154</f>
        <v>31200000</v>
      </c>
      <c r="Y121" s="82">
        <f t="shared" si="136"/>
        <v>66200000</v>
      </c>
      <c r="Z121" s="82">
        <f t="shared" si="136"/>
        <v>81700000</v>
      </c>
      <c r="AA121" s="82">
        <f t="shared" si="136"/>
        <v>89200000</v>
      </c>
      <c r="AB121" s="82">
        <f t="shared" si="136"/>
        <v>81700000</v>
      </c>
      <c r="AC121" s="82">
        <f t="shared" si="136"/>
        <v>166700000</v>
      </c>
      <c r="AD121" s="82">
        <f t="shared" si="136"/>
        <v>50500000</v>
      </c>
      <c r="AE121" s="82">
        <f t="shared" si="136"/>
        <v>40500000</v>
      </c>
      <c r="AF121" s="82">
        <f t="shared" si="136"/>
        <v>15500000</v>
      </c>
      <c r="AG121" s="82">
        <f t="shared" si="136"/>
        <v>15500000</v>
      </c>
      <c r="AH121" s="82">
        <f t="shared" si="136"/>
        <v>133000000</v>
      </c>
      <c r="AI121" s="82">
        <f t="shared" si="136"/>
        <v>15500000</v>
      </c>
      <c r="AJ121" s="548">
        <v>0</v>
      </c>
    </row>
    <row r="122" spans="2:36" ht="30" x14ac:dyDescent="0.2">
      <c r="B122" s="77" t="s">
        <v>105516</v>
      </c>
      <c r="C122" s="77" t="s">
        <v>105573</v>
      </c>
      <c r="D122" s="77" t="s">
        <v>105573</v>
      </c>
      <c r="E122" s="77" t="s">
        <v>105573</v>
      </c>
      <c r="F122" s="77" t="s">
        <v>105553</v>
      </c>
      <c r="G122" s="77" t="s">
        <v>105538</v>
      </c>
      <c r="H122" s="77" t="s">
        <v>105520</v>
      </c>
      <c r="I122" s="77" t="s">
        <v>105576</v>
      </c>
      <c r="J122" s="377"/>
      <c r="K122" s="118"/>
      <c r="L122" s="105"/>
      <c r="M122" s="79" t="s">
        <v>107002</v>
      </c>
      <c r="N122" s="80"/>
      <c r="O122" s="80"/>
      <c r="P122" s="81"/>
      <c r="Q122" s="108"/>
      <c r="R122" s="82">
        <f>SUM(R123:R150)</f>
        <v>1505800000</v>
      </c>
      <c r="S122" s="82">
        <f>SUM(S123:S151)</f>
        <v>1345900000</v>
      </c>
      <c r="T122" s="82">
        <f>SUM(T123:T150)</f>
        <v>588400000</v>
      </c>
      <c r="U122" s="83"/>
      <c r="V122" s="83"/>
      <c r="W122" s="118"/>
      <c r="X122" s="82">
        <f t="shared" ref="X122:AI122" si="137">SUM(X123:X150)</f>
        <v>31200000</v>
      </c>
      <c r="Y122" s="82">
        <f t="shared" si="137"/>
        <v>66200000</v>
      </c>
      <c r="Z122" s="82">
        <f t="shared" si="137"/>
        <v>81700000</v>
      </c>
      <c r="AA122" s="82">
        <f t="shared" si="137"/>
        <v>89200000</v>
      </c>
      <c r="AB122" s="82">
        <f t="shared" si="137"/>
        <v>81700000</v>
      </c>
      <c r="AC122" s="82">
        <f t="shared" si="137"/>
        <v>166700000</v>
      </c>
      <c r="AD122" s="82">
        <f t="shared" si="137"/>
        <v>50500000</v>
      </c>
      <c r="AE122" s="82">
        <f t="shared" si="137"/>
        <v>40500000</v>
      </c>
      <c r="AF122" s="82">
        <f t="shared" si="137"/>
        <v>15500000</v>
      </c>
      <c r="AG122" s="82">
        <f t="shared" si="137"/>
        <v>15500000</v>
      </c>
      <c r="AH122" s="82">
        <f t="shared" si="137"/>
        <v>133000000</v>
      </c>
      <c r="AI122" s="82">
        <f t="shared" si="137"/>
        <v>15500000</v>
      </c>
      <c r="AJ122" s="548">
        <v>0</v>
      </c>
    </row>
    <row r="123" spans="2:36" ht="60" x14ac:dyDescent="0.2">
      <c r="B123" s="85"/>
      <c r="C123" s="86"/>
      <c r="D123" s="86"/>
      <c r="E123" s="86"/>
      <c r="F123" s="86"/>
      <c r="G123" s="86"/>
      <c r="H123" s="86"/>
      <c r="I123" s="86"/>
      <c r="J123" s="86"/>
      <c r="K123" s="93" t="s">
        <v>106997</v>
      </c>
      <c r="L123" s="52">
        <v>81101604</v>
      </c>
      <c r="M123" s="569" t="s">
        <v>113837</v>
      </c>
      <c r="N123" s="90">
        <v>45688</v>
      </c>
      <c r="O123" s="90" t="s">
        <v>113037</v>
      </c>
      <c r="P123" s="91" t="s">
        <v>113002</v>
      </c>
      <c r="Q123" s="91" t="s">
        <v>113258</v>
      </c>
      <c r="R123" s="473">
        <v>41000000</v>
      </c>
      <c r="S123" s="433">
        <f>25800000-6000000-4300000-3600000</f>
        <v>11900000</v>
      </c>
      <c r="T123" s="433">
        <v>21500000</v>
      </c>
      <c r="U123" s="131"/>
      <c r="V123" s="131"/>
      <c r="W123" s="359" t="s">
        <v>113080</v>
      </c>
      <c r="X123" s="551"/>
      <c r="Y123" s="551"/>
      <c r="Z123" s="551"/>
      <c r="AA123" s="551"/>
      <c r="AB123" s="551"/>
      <c r="AC123" s="551"/>
      <c r="AD123" s="551"/>
      <c r="AE123" s="551"/>
      <c r="AF123" s="551"/>
      <c r="AG123" s="551"/>
      <c r="AH123" s="551"/>
      <c r="AI123" s="551"/>
      <c r="AJ123" s="548">
        <v>0</v>
      </c>
    </row>
    <row r="124" spans="2:36" ht="60" x14ac:dyDescent="0.2">
      <c r="B124" s="85"/>
      <c r="C124" s="86"/>
      <c r="D124" s="86"/>
      <c r="E124" s="86"/>
      <c r="F124" s="86"/>
      <c r="G124" s="86"/>
      <c r="H124" s="86"/>
      <c r="I124" s="86"/>
      <c r="J124" s="86"/>
      <c r="K124" s="93"/>
      <c r="L124" s="52">
        <v>81101500</v>
      </c>
      <c r="M124" s="99" t="s">
        <v>113827</v>
      </c>
      <c r="N124" s="90">
        <v>45306</v>
      </c>
      <c r="O124" s="90" t="s">
        <v>113060</v>
      </c>
      <c r="P124" s="91" t="s">
        <v>113002</v>
      </c>
      <c r="Q124" s="91" t="s">
        <v>113258</v>
      </c>
      <c r="R124" s="350"/>
      <c r="S124" s="433">
        <v>36000000</v>
      </c>
      <c r="T124" s="433">
        <v>30000000</v>
      </c>
      <c r="U124" s="131"/>
      <c r="V124" s="131"/>
      <c r="W124" s="93" t="s">
        <v>113012</v>
      </c>
      <c r="X124" s="551"/>
      <c r="Y124" s="551"/>
      <c r="Z124" s="551"/>
      <c r="AA124" s="551"/>
      <c r="AB124" s="551"/>
      <c r="AC124" s="551"/>
      <c r="AD124" s="551"/>
      <c r="AE124" s="551"/>
      <c r="AF124" s="551"/>
      <c r="AG124" s="551"/>
      <c r="AH124" s="551"/>
      <c r="AI124" s="551"/>
      <c r="AJ124" s="548">
        <v>0</v>
      </c>
    </row>
    <row r="125" spans="2:36" ht="78.75" customHeight="1" x14ac:dyDescent="0.2">
      <c r="B125" s="85"/>
      <c r="C125" s="86"/>
      <c r="D125" s="86"/>
      <c r="E125" s="86"/>
      <c r="F125" s="86"/>
      <c r="G125" s="86"/>
      <c r="H125" s="86"/>
      <c r="I125" s="86"/>
      <c r="J125" s="86"/>
      <c r="K125" s="93" t="s">
        <v>106997</v>
      </c>
      <c r="L125" s="88" t="s">
        <v>113509</v>
      </c>
      <c r="M125" s="99" t="s">
        <v>113510</v>
      </c>
      <c r="N125" s="90">
        <v>45839</v>
      </c>
      <c r="O125" s="400" t="s">
        <v>113010</v>
      </c>
      <c r="P125" s="91" t="s">
        <v>113002</v>
      </c>
      <c r="Q125" s="405" t="s">
        <v>113071</v>
      </c>
      <c r="R125" s="517">
        <v>25000000</v>
      </c>
      <c r="S125" s="433">
        <v>0</v>
      </c>
      <c r="T125" s="433">
        <v>25000000</v>
      </c>
      <c r="U125" s="128"/>
      <c r="V125" s="131"/>
      <c r="W125" s="93" t="s">
        <v>113019</v>
      </c>
      <c r="X125" s="551"/>
      <c r="Y125" s="551"/>
      <c r="Z125" s="551"/>
      <c r="AA125" s="551"/>
      <c r="AB125" s="551"/>
      <c r="AC125" s="551"/>
      <c r="AD125" s="551"/>
      <c r="AE125" s="551"/>
      <c r="AF125" s="551"/>
      <c r="AG125" s="551"/>
      <c r="AH125" s="551"/>
      <c r="AI125" s="551"/>
      <c r="AJ125" s="548">
        <v>0</v>
      </c>
    </row>
    <row r="126" spans="2:36" ht="105" x14ac:dyDescent="0.2">
      <c r="B126" s="85"/>
      <c r="C126" s="86"/>
      <c r="D126" s="86"/>
      <c r="E126" s="86"/>
      <c r="F126" s="86"/>
      <c r="G126" s="86"/>
      <c r="H126" s="86"/>
      <c r="I126" s="86"/>
      <c r="J126" s="86"/>
      <c r="K126" s="93" t="s">
        <v>106997</v>
      </c>
      <c r="L126" s="52">
        <v>81111500</v>
      </c>
      <c r="M126" s="97" t="s">
        <v>113809</v>
      </c>
      <c r="N126" s="90">
        <v>45666</v>
      </c>
      <c r="O126" s="90" t="s">
        <v>113060</v>
      </c>
      <c r="P126" s="91" t="s">
        <v>113002</v>
      </c>
      <c r="Q126" s="91" t="s">
        <v>113053</v>
      </c>
      <c r="R126" s="456">
        <v>62700000</v>
      </c>
      <c r="S126" s="430">
        <f>6000000*6+6000000</f>
        <v>42000000</v>
      </c>
      <c r="T126" s="430">
        <f>6000000*5</f>
        <v>30000000</v>
      </c>
      <c r="U126" s="128"/>
      <c r="V126" s="131"/>
      <c r="W126" s="93" t="s">
        <v>113003</v>
      </c>
      <c r="X126" s="548">
        <v>6000000</v>
      </c>
      <c r="Y126" s="548">
        <v>6000000</v>
      </c>
      <c r="Z126" s="548">
        <v>6000000</v>
      </c>
      <c r="AA126" s="548">
        <v>6000000</v>
      </c>
      <c r="AB126" s="548">
        <v>6000000</v>
      </c>
      <c r="AC126" s="548">
        <v>6000000</v>
      </c>
      <c r="AD126" s="548"/>
      <c r="AE126" s="548"/>
      <c r="AF126" s="548"/>
      <c r="AG126" s="548"/>
      <c r="AH126" s="548"/>
      <c r="AI126" s="548"/>
      <c r="AJ126" s="548">
        <v>0</v>
      </c>
    </row>
    <row r="127" spans="2:36" ht="60" x14ac:dyDescent="0.2">
      <c r="B127" s="85"/>
      <c r="C127" s="86"/>
      <c r="D127" s="86"/>
      <c r="E127" s="86"/>
      <c r="F127" s="86"/>
      <c r="G127" s="86"/>
      <c r="H127" s="86"/>
      <c r="I127" s="86"/>
      <c r="J127" s="86"/>
      <c r="K127" s="93" t="s">
        <v>106997</v>
      </c>
      <c r="L127" s="52" t="s">
        <v>101349</v>
      </c>
      <c r="M127" s="89" t="s">
        <v>113808</v>
      </c>
      <c r="N127" s="90">
        <v>45677</v>
      </c>
      <c r="O127" s="90" t="s">
        <v>113037</v>
      </c>
      <c r="P127" s="91" t="s">
        <v>113002</v>
      </c>
      <c r="Q127" s="91" t="s">
        <v>113053</v>
      </c>
      <c r="R127" s="456">
        <v>45100000</v>
      </c>
      <c r="S127" s="430">
        <f>4300000*6+4300000</f>
        <v>30100000</v>
      </c>
      <c r="T127" s="430">
        <f>4300000*5</f>
        <v>21500000</v>
      </c>
      <c r="U127" s="128"/>
      <c r="V127" s="131"/>
      <c r="W127" s="93" t="s">
        <v>113003</v>
      </c>
      <c r="X127" s="548">
        <v>4300000</v>
      </c>
      <c r="Y127" s="548">
        <v>4300000</v>
      </c>
      <c r="Z127" s="548">
        <v>4300000</v>
      </c>
      <c r="AA127" s="548">
        <v>4300000</v>
      </c>
      <c r="AB127" s="548">
        <v>4300000</v>
      </c>
      <c r="AC127" s="548">
        <v>4300000</v>
      </c>
      <c r="AD127" s="548"/>
      <c r="AE127" s="548"/>
      <c r="AF127" s="548"/>
      <c r="AG127" s="548"/>
      <c r="AH127" s="548"/>
      <c r="AI127" s="548"/>
      <c r="AJ127" s="548">
        <v>0</v>
      </c>
    </row>
    <row r="128" spans="2:36" ht="75" x14ac:dyDescent="0.2">
      <c r="B128" s="85"/>
      <c r="C128" s="86"/>
      <c r="D128" s="86"/>
      <c r="E128" s="86"/>
      <c r="F128" s="86"/>
      <c r="G128" s="86"/>
      <c r="H128" s="86"/>
      <c r="I128" s="86"/>
      <c r="J128" s="86"/>
      <c r="K128" s="93" t="s">
        <v>106997</v>
      </c>
      <c r="L128" s="52">
        <v>81111500</v>
      </c>
      <c r="M128" s="89" t="s">
        <v>113807</v>
      </c>
      <c r="N128" s="90">
        <v>45666</v>
      </c>
      <c r="O128" s="90" t="s">
        <v>113037</v>
      </c>
      <c r="P128" s="91" t="s">
        <v>113002</v>
      </c>
      <c r="Q128" s="91" t="s">
        <v>113053</v>
      </c>
      <c r="R128" s="456">
        <v>99000000</v>
      </c>
      <c r="S128" s="430">
        <f>9000000*6+9000000</f>
        <v>63000000</v>
      </c>
      <c r="T128" s="430">
        <f>9000000*5</f>
        <v>45000000</v>
      </c>
      <c r="U128" s="128"/>
      <c r="V128" s="131"/>
      <c r="W128" s="93" t="s">
        <v>113003</v>
      </c>
      <c r="X128" s="548">
        <v>9000000</v>
      </c>
      <c r="Y128" s="548">
        <v>9000000</v>
      </c>
      <c r="Z128" s="548">
        <v>9000000</v>
      </c>
      <c r="AA128" s="548">
        <v>9000000</v>
      </c>
      <c r="AB128" s="548">
        <v>9000000</v>
      </c>
      <c r="AC128" s="548">
        <v>9000000</v>
      </c>
      <c r="AD128" s="548"/>
      <c r="AE128" s="548"/>
      <c r="AF128" s="548"/>
      <c r="AG128" s="548"/>
      <c r="AH128" s="548"/>
      <c r="AI128" s="548"/>
      <c r="AJ128" s="548">
        <v>0</v>
      </c>
    </row>
    <row r="129" spans="2:38" ht="60" x14ac:dyDescent="0.2">
      <c r="B129" s="85"/>
      <c r="C129" s="86"/>
      <c r="D129" s="86"/>
      <c r="E129" s="86"/>
      <c r="F129" s="86"/>
      <c r="G129" s="86"/>
      <c r="H129" s="86"/>
      <c r="I129" s="86"/>
      <c r="J129" s="86"/>
      <c r="K129" s="93" t="s">
        <v>106997</v>
      </c>
      <c r="L129" s="52">
        <v>81111500</v>
      </c>
      <c r="M129" s="89" t="s">
        <v>113806</v>
      </c>
      <c r="N129" s="90">
        <v>45666</v>
      </c>
      <c r="O129" s="90" t="s">
        <v>113037</v>
      </c>
      <c r="P129" s="91" t="s">
        <v>113002</v>
      </c>
      <c r="Q129" s="91" t="s">
        <v>113053</v>
      </c>
      <c r="R129" s="456">
        <v>93500000</v>
      </c>
      <c r="S129" s="430">
        <f>8500000*6+8500000</f>
        <v>59500000</v>
      </c>
      <c r="T129" s="430">
        <f>8500000*5</f>
        <v>42500000</v>
      </c>
      <c r="U129" s="128"/>
      <c r="V129" s="131"/>
      <c r="W129" s="93" t="s">
        <v>113003</v>
      </c>
      <c r="X129" s="548">
        <v>8500000</v>
      </c>
      <c r="Y129" s="548">
        <v>8500000</v>
      </c>
      <c r="Z129" s="548">
        <v>8500000</v>
      </c>
      <c r="AA129" s="548">
        <v>8500000</v>
      </c>
      <c r="AB129" s="548">
        <v>8500000</v>
      </c>
      <c r="AC129" s="548">
        <v>8500000</v>
      </c>
      <c r="AD129" s="548"/>
      <c r="AE129" s="548"/>
      <c r="AF129" s="548"/>
      <c r="AG129" s="548"/>
      <c r="AH129" s="548"/>
      <c r="AI129" s="548"/>
      <c r="AJ129" s="548">
        <v>0</v>
      </c>
    </row>
    <row r="130" spans="2:38" ht="75" x14ac:dyDescent="0.2">
      <c r="B130" s="85"/>
      <c r="C130" s="86"/>
      <c r="D130" s="86"/>
      <c r="E130" s="86"/>
      <c r="F130" s="86"/>
      <c r="G130" s="86"/>
      <c r="H130" s="86"/>
      <c r="I130" s="86"/>
      <c r="J130" s="86"/>
      <c r="K130" s="93" t="s">
        <v>106997</v>
      </c>
      <c r="L130" s="52">
        <v>43232407</v>
      </c>
      <c r="M130" s="89" t="s">
        <v>113833</v>
      </c>
      <c r="N130" s="90">
        <v>45679</v>
      </c>
      <c r="O130" s="90" t="s">
        <v>113037</v>
      </c>
      <c r="P130" s="91" t="s">
        <v>113002</v>
      </c>
      <c r="Q130" s="91" t="s">
        <v>113053</v>
      </c>
      <c r="R130" s="456">
        <v>28500000</v>
      </c>
      <c r="S130" s="430">
        <f>6000000*6</f>
        <v>36000000</v>
      </c>
      <c r="T130" s="430">
        <v>0</v>
      </c>
      <c r="U130" s="128"/>
      <c r="V130" s="131"/>
      <c r="W130" s="93" t="s">
        <v>113003</v>
      </c>
      <c r="X130" s="548"/>
      <c r="Y130" s="548">
        <v>6000000</v>
      </c>
      <c r="Z130" s="548">
        <v>6000000</v>
      </c>
      <c r="AA130" s="548">
        <v>6000000</v>
      </c>
      <c r="AB130" s="548">
        <v>6000000</v>
      </c>
      <c r="AC130" s="548">
        <v>6000000</v>
      </c>
      <c r="AD130" s="548">
        <v>6000000</v>
      </c>
      <c r="AE130" s="548"/>
      <c r="AF130" s="548"/>
      <c r="AG130" s="548"/>
      <c r="AH130" s="548"/>
      <c r="AI130" s="548"/>
      <c r="AJ130" s="548">
        <v>0</v>
      </c>
    </row>
    <row r="131" spans="2:38" ht="60" x14ac:dyDescent="0.2">
      <c r="B131" s="85"/>
      <c r="C131" s="86"/>
      <c r="D131" s="86"/>
      <c r="E131" s="86"/>
      <c r="F131" s="86"/>
      <c r="G131" s="86"/>
      <c r="H131" s="86"/>
      <c r="I131" s="86"/>
      <c r="J131" s="86"/>
      <c r="K131" s="93" t="s">
        <v>106997</v>
      </c>
      <c r="L131" s="52">
        <v>81111500</v>
      </c>
      <c r="M131" s="99" t="s">
        <v>113805</v>
      </c>
      <c r="N131" s="90">
        <v>45679</v>
      </c>
      <c r="O131" s="90" t="s">
        <v>113037</v>
      </c>
      <c r="P131" s="91" t="s">
        <v>113002</v>
      </c>
      <c r="Q131" s="91" t="s">
        <v>113053</v>
      </c>
      <c r="R131" s="456">
        <v>42000000</v>
      </c>
      <c r="S131" s="430">
        <f>(7700000*6)-10000000+7000000</f>
        <v>43200000</v>
      </c>
      <c r="T131" s="430">
        <v>0</v>
      </c>
      <c r="U131" s="128"/>
      <c r="V131" s="131"/>
      <c r="W131" s="93" t="s">
        <v>113003</v>
      </c>
      <c r="X131" s="548"/>
      <c r="Y131" s="548">
        <v>7000000</v>
      </c>
      <c r="Z131" s="548">
        <v>7000000</v>
      </c>
      <c r="AA131" s="548">
        <v>7000000</v>
      </c>
      <c r="AB131" s="548">
        <v>7000000</v>
      </c>
      <c r="AC131" s="548">
        <v>7000000</v>
      </c>
      <c r="AD131" s="548">
        <v>7000000</v>
      </c>
      <c r="AE131" s="548"/>
      <c r="AF131" s="548"/>
      <c r="AG131" s="548"/>
      <c r="AH131" s="548"/>
      <c r="AI131" s="548"/>
      <c r="AJ131" s="548">
        <v>0</v>
      </c>
    </row>
    <row r="132" spans="2:38" ht="60" x14ac:dyDescent="0.2">
      <c r="B132" s="85"/>
      <c r="C132" s="86"/>
      <c r="D132" s="86"/>
      <c r="E132" s="86"/>
      <c r="F132" s="86"/>
      <c r="G132" s="86"/>
      <c r="H132" s="86"/>
      <c r="I132" s="86"/>
      <c r="J132" s="86"/>
      <c r="K132" s="93" t="s">
        <v>106997</v>
      </c>
      <c r="L132" s="52">
        <v>81111500</v>
      </c>
      <c r="M132" s="99" t="s">
        <v>113805</v>
      </c>
      <c r="N132" s="90">
        <v>45679</v>
      </c>
      <c r="O132" s="90" t="s">
        <v>113037</v>
      </c>
      <c r="P132" s="91" t="s">
        <v>113002</v>
      </c>
      <c r="Q132" s="91" t="s">
        <v>113053</v>
      </c>
      <c r="R132" s="456">
        <v>42000000</v>
      </c>
      <c r="S132" s="430">
        <f>7700000*6</f>
        <v>46200000</v>
      </c>
      <c r="T132" s="430">
        <v>0</v>
      </c>
      <c r="U132" s="128"/>
      <c r="V132" s="131"/>
      <c r="W132" s="93" t="s">
        <v>113003</v>
      </c>
      <c r="X132" s="548"/>
      <c r="Y132" s="548">
        <v>7000000</v>
      </c>
      <c r="Z132" s="548">
        <v>7000000</v>
      </c>
      <c r="AA132" s="548">
        <v>7000000</v>
      </c>
      <c r="AB132" s="548">
        <v>7000000</v>
      </c>
      <c r="AC132" s="548">
        <v>7000000</v>
      </c>
      <c r="AD132" s="548">
        <v>7000000</v>
      </c>
      <c r="AE132" s="548"/>
      <c r="AF132" s="548"/>
      <c r="AG132" s="548"/>
      <c r="AH132" s="548"/>
      <c r="AI132" s="548"/>
      <c r="AJ132" s="548">
        <v>0</v>
      </c>
    </row>
    <row r="133" spans="2:38" ht="60" x14ac:dyDescent="0.2">
      <c r="B133" s="85"/>
      <c r="C133" s="86"/>
      <c r="D133" s="86"/>
      <c r="E133" s="86"/>
      <c r="F133" s="86"/>
      <c r="G133" s="86"/>
      <c r="H133" s="86"/>
      <c r="I133" s="86"/>
      <c r="J133" s="86"/>
      <c r="K133" s="93" t="s">
        <v>106997</v>
      </c>
      <c r="L133" s="52">
        <v>81111500</v>
      </c>
      <c r="M133" s="89" t="s">
        <v>113804</v>
      </c>
      <c r="N133" s="90">
        <v>45679</v>
      </c>
      <c r="O133" s="90" t="s">
        <v>113037</v>
      </c>
      <c r="P133" s="91" t="s">
        <v>113002</v>
      </c>
      <c r="Q133" s="91" t="s">
        <v>113053</v>
      </c>
      <c r="R133" s="456">
        <v>45000000</v>
      </c>
      <c r="S133" s="430">
        <f>7700000*6+6300000</f>
        <v>52500000</v>
      </c>
      <c r="T133" s="430">
        <v>0</v>
      </c>
      <c r="U133" s="128"/>
      <c r="V133" s="131"/>
      <c r="W133" s="93" t="s">
        <v>113003</v>
      </c>
      <c r="X133" s="548"/>
      <c r="Y133" s="548">
        <v>7500000</v>
      </c>
      <c r="Z133" s="548">
        <v>7500000</v>
      </c>
      <c r="AA133" s="548">
        <v>7500000</v>
      </c>
      <c r="AB133" s="548">
        <v>7500000</v>
      </c>
      <c r="AC133" s="548">
        <v>7500000</v>
      </c>
      <c r="AD133" s="548">
        <v>7500000</v>
      </c>
      <c r="AE133" s="548"/>
      <c r="AF133" s="548"/>
      <c r="AG133" s="548"/>
      <c r="AH133" s="548"/>
      <c r="AI133" s="548"/>
      <c r="AJ133" s="548">
        <v>0</v>
      </c>
    </row>
    <row r="134" spans="2:38" ht="60" x14ac:dyDescent="0.2">
      <c r="B134" s="85"/>
      <c r="C134" s="86"/>
      <c r="D134" s="86"/>
      <c r="E134" s="86"/>
      <c r="F134" s="86"/>
      <c r="G134" s="86"/>
      <c r="H134" s="86"/>
      <c r="I134" s="86"/>
      <c r="J134" s="86"/>
      <c r="K134" s="93" t="s">
        <v>106997</v>
      </c>
      <c r="L134" s="52">
        <v>81111500</v>
      </c>
      <c r="M134" s="89" t="s">
        <v>113803</v>
      </c>
      <c r="N134" s="90">
        <v>45679</v>
      </c>
      <c r="O134" s="90" t="s">
        <v>113037</v>
      </c>
      <c r="P134" s="91" t="s">
        <v>113002</v>
      </c>
      <c r="Q134" s="91" t="s">
        <v>113053</v>
      </c>
      <c r="R134" s="456">
        <v>45000000</v>
      </c>
      <c r="S134" s="430">
        <f>7700000*6+6300000</f>
        <v>52500000</v>
      </c>
      <c r="T134" s="430">
        <v>0</v>
      </c>
      <c r="U134" s="128"/>
      <c r="V134" s="131"/>
      <c r="W134" s="93" t="s">
        <v>113003</v>
      </c>
      <c r="X134" s="548"/>
      <c r="Y134" s="548">
        <v>7500000</v>
      </c>
      <c r="Z134" s="548">
        <v>7500000</v>
      </c>
      <c r="AA134" s="548">
        <v>7500000</v>
      </c>
      <c r="AB134" s="548">
        <v>7500000</v>
      </c>
      <c r="AC134" s="548">
        <v>7500000</v>
      </c>
      <c r="AD134" s="548">
        <v>7500000</v>
      </c>
      <c r="AE134" s="548"/>
      <c r="AF134" s="548"/>
      <c r="AG134" s="548"/>
      <c r="AH134" s="548"/>
      <c r="AI134" s="548"/>
      <c r="AJ134" s="548">
        <v>0</v>
      </c>
    </row>
    <row r="135" spans="2:38" ht="60" x14ac:dyDescent="0.2">
      <c r="B135" s="85"/>
      <c r="C135" s="86"/>
      <c r="D135" s="86"/>
      <c r="E135" s="86"/>
      <c r="F135" s="86"/>
      <c r="G135" s="86"/>
      <c r="H135" s="86"/>
      <c r="I135" s="86"/>
      <c r="J135" s="86"/>
      <c r="K135" s="93" t="s">
        <v>106997</v>
      </c>
      <c r="L135" s="88">
        <v>81112103</v>
      </c>
      <c r="M135" s="97" t="s">
        <v>113437</v>
      </c>
      <c r="N135" s="90">
        <v>45824</v>
      </c>
      <c r="O135" s="90" t="s">
        <v>112997</v>
      </c>
      <c r="P135" s="91" t="s">
        <v>112998</v>
      </c>
      <c r="Q135" s="91" t="s">
        <v>113053</v>
      </c>
      <c r="R135" s="456">
        <v>16400000</v>
      </c>
      <c r="S135" s="430"/>
      <c r="T135" s="430">
        <f>4300000*3</f>
        <v>12900000</v>
      </c>
      <c r="U135" s="128"/>
      <c r="V135" s="131"/>
      <c r="W135" s="93" t="s">
        <v>113003</v>
      </c>
      <c r="X135" s="548"/>
      <c r="Y135" s="548"/>
      <c r="Z135" s="548"/>
      <c r="AA135" s="548"/>
      <c r="AB135" s="548"/>
      <c r="AC135" s="548"/>
      <c r="AD135" s="548"/>
      <c r="AE135" s="548"/>
      <c r="AF135" s="548"/>
      <c r="AG135" s="548"/>
      <c r="AH135" s="548"/>
      <c r="AI135" s="548"/>
      <c r="AJ135" s="548">
        <v>0</v>
      </c>
    </row>
    <row r="136" spans="2:38" ht="60" x14ac:dyDescent="0.2">
      <c r="B136" s="85"/>
      <c r="C136" s="86"/>
      <c r="D136" s="86"/>
      <c r="E136" s="86"/>
      <c r="F136" s="86"/>
      <c r="G136" s="86"/>
      <c r="H136" s="86"/>
      <c r="I136" s="86"/>
      <c r="J136" s="86"/>
      <c r="K136" s="93" t="s">
        <v>106997</v>
      </c>
      <c r="L136" s="88" t="s">
        <v>113084</v>
      </c>
      <c r="M136" s="99" t="s">
        <v>113438</v>
      </c>
      <c r="N136" s="90">
        <v>45672</v>
      </c>
      <c r="O136" s="90" t="s">
        <v>113037</v>
      </c>
      <c r="P136" s="91" t="s">
        <v>113022</v>
      </c>
      <c r="Q136" s="91" t="s">
        <v>112999</v>
      </c>
      <c r="R136" s="456">
        <v>80000000</v>
      </c>
      <c r="S136" s="430">
        <v>80000000</v>
      </c>
      <c r="T136" s="430">
        <v>0</v>
      </c>
      <c r="U136" s="128"/>
      <c r="V136" s="131"/>
      <c r="W136" s="93" t="s">
        <v>113003</v>
      </c>
      <c r="X136" s="548"/>
      <c r="Y136" s="548"/>
      <c r="Z136" s="548"/>
      <c r="AA136" s="548"/>
      <c r="AB136" s="548"/>
      <c r="AC136" s="548">
        <v>40000000</v>
      </c>
      <c r="AD136" s="548"/>
      <c r="AE136" s="548"/>
      <c r="AF136" s="548"/>
      <c r="AG136" s="548"/>
      <c r="AH136" s="548">
        <v>40000000</v>
      </c>
      <c r="AI136" s="548"/>
      <c r="AJ136" s="548">
        <v>0</v>
      </c>
    </row>
    <row r="137" spans="2:38" ht="45" x14ac:dyDescent="0.2">
      <c r="B137" s="85"/>
      <c r="C137" s="86"/>
      <c r="D137" s="86"/>
      <c r="E137" s="86"/>
      <c r="F137" s="86"/>
      <c r="G137" s="86"/>
      <c r="H137" s="86"/>
      <c r="I137" s="86"/>
      <c r="J137" s="86"/>
      <c r="K137" s="93" t="s">
        <v>106997</v>
      </c>
      <c r="L137" s="52">
        <v>81111800</v>
      </c>
      <c r="M137" s="89" t="s">
        <v>113847</v>
      </c>
      <c r="N137" s="90">
        <v>45692</v>
      </c>
      <c r="O137" s="90" t="s">
        <v>113037</v>
      </c>
      <c r="P137" s="91" t="s">
        <v>113022</v>
      </c>
      <c r="Q137" s="91" t="s">
        <v>112999</v>
      </c>
      <c r="R137" s="456">
        <v>155000000</v>
      </c>
      <c r="S137" s="578">
        <f>155000000-6000000-4300000-6000000-6000000-6000000-1800000-8500000-1800000-9000000-4300000-4300000-2700000-7000000-6000000-6000000-6000000-6000000-6000000-3600000</f>
        <v>53700000</v>
      </c>
      <c r="T137" s="430">
        <v>0</v>
      </c>
      <c r="U137" s="128"/>
      <c r="V137" s="131"/>
      <c r="W137" s="93" t="s">
        <v>113003</v>
      </c>
      <c r="X137" s="548"/>
      <c r="Y137" s="548"/>
      <c r="Z137" s="548">
        <v>15500000</v>
      </c>
      <c r="AA137" s="548">
        <v>15500000</v>
      </c>
      <c r="AB137" s="548">
        <v>15500000</v>
      </c>
      <c r="AC137" s="548">
        <v>15500000</v>
      </c>
      <c r="AD137" s="548">
        <v>15500000</v>
      </c>
      <c r="AE137" s="548">
        <v>15500000</v>
      </c>
      <c r="AF137" s="548">
        <v>15500000</v>
      </c>
      <c r="AG137" s="548">
        <v>15500000</v>
      </c>
      <c r="AH137" s="548">
        <v>15500000</v>
      </c>
      <c r="AI137" s="548">
        <v>15500000</v>
      </c>
      <c r="AJ137" s="548">
        <v>0</v>
      </c>
    </row>
    <row r="138" spans="2:38" ht="45" x14ac:dyDescent="0.2">
      <c r="B138" s="85"/>
      <c r="C138" s="86"/>
      <c r="D138" s="86"/>
      <c r="E138" s="86"/>
      <c r="F138" s="86"/>
      <c r="G138" s="86"/>
      <c r="H138" s="86"/>
      <c r="I138" s="86"/>
      <c r="J138" s="86"/>
      <c r="K138" s="93" t="s">
        <v>106997</v>
      </c>
      <c r="L138" s="52">
        <v>81111800</v>
      </c>
      <c r="M138" s="89" t="s">
        <v>113442</v>
      </c>
      <c r="N138" s="90">
        <v>45733</v>
      </c>
      <c r="O138" s="90" t="s">
        <v>113087</v>
      </c>
      <c r="P138" s="91" t="s">
        <v>113028</v>
      </c>
      <c r="Q138" s="91" t="s">
        <v>113053</v>
      </c>
      <c r="R138" s="456">
        <v>90000000</v>
      </c>
      <c r="S138" s="433">
        <v>90000000</v>
      </c>
      <c r="T138" s="527">
        <v>0</v>
      </c>
      <c r="U138" s="128"/>
      <c r="V138" s="131"/>
      <c r="W138" s="93" t="s">
        <v>113003</v>
      </c>
      <c r="X138" s="550"/>
      <c r="Y138" s="550"/>
      <c r="Z138" s="550"/>
      <c r="AA138" s="550"/>
      <c r="AB138" s="550"/>
      <c r="AC138" s="562">
        <v>45000000</v>
      </c>
      <c r="AD138" s="550"/>
      <c r="AE138" s="550"/>
      <c r="AF138" s="550"/>
      <c r="AG138" s="550"/>
      <c r="AH138" s="562">
        <v>45000000</v>
      </c>
      <c r="AI138" s="550"/>
      <c r="AJ138" s="548">
        <v>0</v>
      </c>
    </row>
    <row r="139" spans="2:38" ht="45" x14ac:dyDescent="0.2">
      <c r="B139" s="85"/>
      <c r="C139" s="86"/>
      <c r="D139" s="86"/>
      <c r="E139" s="86"/>
      <c r="F139" s="86"/>
      <c r="G139" s="86"/>
      <c r="H139" s="86"/>
      <c r="I139" s="86"/>
      <c r="J139" s="86"/>
      <c r="K139" s="93" t="s">
        <v>106997</v>
      </c>
      <c r="L139" s="88" t="s">
        <v>113443</v>
      </c>
      <c r="M139" s="89" t="s">
        <v>113444</v>
      </c>
      <c r="N139" s="90">
        <v>45768</v>
      </c>
      <c r="O139" s="90" t="s">
        <v>113087</v>
      </c>
      <c r="P139" s="91" t="s">
        <v>113028</v>
      </c>
      <c r="Q139" s="91" t="s">
        <v>113053</v>
      </c>
      <c r="R139" s="456">
        <v>50000000</v>
      </c>
      <c r="S139" s="433">
        <v>50000000</v>
      </c>
      <c r="T139" s="432"/>
      <c r="U139" s="128"/>
      <c r="V139" s="131"/>
      <c r="W139" s="93" t="s">
        <v>113003</v>
      </c>
      <c r="X139" s="550"/>
      <c r="Y139" s="550"/>
      <c r="Z139" s="550"/>
      <c r="AA139" s="550"/>
      <c r="AB139" s="550"/>
      <c r="AC139" s="550"/>
      <c r="AD139" s="550"/>
      <c r="AE139" s="562">
        <v>25000000</v>
      </c>
      <c r="AF139" s="550"/>
      <c r="AG139" s="550"/>
      <c r="AH139" s="562">
        <v>25000000</v>
      </c>
      <c r="AI139" s="550"/>
      <c r="AJ139" s="548">
        <v>0</v>
      </c>
    </row>
    <row r="140" spans="2:38" ht="79.5" customHeight="1" x14ac:dyDescent="0.2">
      <c r="B140" s="85"/>
      <c r="C140" s="86"/>
      <c r="D140" s="86"/>
      <c r="E140" s="86"/>
      <c r="F140" s="86"/>
      <c r="G140" s="86"/>
      <c r="H140" s="86"/>
      <c r="I140" s="86"/>
      <c r="J140" s="86"/>
      <c r="K140" s="93" t="s">
        <v>106997</v>
      </c>
      <c r="L140" s="52">
        <v>81112200</v>
      </c>
      <c r="M140" s="99" t="s">
        <v>113445</v>
      </c>
      <c r="N140" s="90">
        <v>45666</v>
      </c>
      <c r="O140" s="90" t="s">
        <v>113037</v>
      </c>
      <c r="P140" s="91" t="s">
        <v>113011</v>
      </c>
      <c r="Q140" s="91" t="s">
        <v>113053</v>
      </c>
      <c r="R140" s="456">
        <v>22000000</v>
      </c>
      <c r="S140" s="433">
        <v>15000000</v>
      </c>
      <c r="T140" s="432">
        <v>0</v>
      </c>
      <c r="U140" s="128"/>
      <c r="V140" s="131"/>
      <c r="W140" s="93" t="s">
        <v>113003</v>
      </c>
      <c r="X140" s="550"/>
      <c r="Y140" s="550"/>
      <c r="Z140" s="550"/>
      <c r="AA140" s="562">
        <v>7500000</v>
      </c>
      <c r="AB140" s="550"/>
      <c r="AC140" s="550"/>
      <c r="AD140" s="550"/>
      <c r="AE140" s="550"/>
      <c r="AF140" s="550"/>
      <c r="AG140" s="550"/>
      <c r="AH140" s="562">
        <v>7500000</v>
      </c>
      <c r="AI140" s="550"/>
      <c r="AJ140" s="548">
        <v>0</v>
      </c>
    </row>
    <row r="141" spans="2:38" ht="79.5" customHeight="1" x14ac:dyDescent="0.2">
      <c r="B141" s="85"/>
      <c r="C141" s="86"/>
      <c r="D141" s="86"/>
      <c r="E141" s="86"/>
      <c r="F141" s="86"/>
      <c r="G141" s="86"/>
      <c r="H141" s="86"/>
      <c r="I141" s="86"/>
      <c r="J141" s="86"/>
      <c r="K141" s="93" t="s">
        <v>106997</v>
      </c>
      <c r="L141" s="52">
        <v>81112200</v>
      </c>
      <c r="M141" s="99" t="s">
        <v>113866</v>
      </c>
      <c r="N141" s="90">
        <v>45825</v>
      </c>
      <c r="O141" s="90" t="s">
        <v>112997</v>
      </c>
      <c r="P141" s="91" t="s">
        <v>112998</v>
      </c>
      <c r="Q141" s="91" t="s">
        <v>113053</v>
      </c>
      <c r="R141" s="350"/>
      <c r="S141" s="576">
        <v>160000000</v>
      </c>
      <c r="T141" s="570">
        <v>160000000</v>
      </c>
      <c r="U141" s="432"/>
      <c r="V141" s="128"/>
      <c r="W141" s="93" t="s">
        <v>113003</v>
      </c>
      <c r="X141" s="93" t="s">
        <v>113003</v>
      </c>
      <c r="Y141" s="550"/>
      <c r="Z141" s="550"/>
      <c r="AA141" s="550"/>
      <c r="AB141" s="562"/>
      <c r="AC141" s="550"/>
      <c r="AD141" s="550"/>
      <c r="AE141" s="550"/>
      <c r="AF141" s="550"/>
      <c r="AG141" s="550"/>
      <c r="AH141" s="550"/>
      <c r="AI141" s="562"/>
      <c r="AJ141" s="571"/>
      <c r="AK141" s="574"/>
      <c r="AL141" s="573"/>
    </row>
    <row r="142" spans="2:38" ht="79.5" customHeight="1" x14ac:dyDescent="0.2">
      <c r="B142" s="85"/>
      <c r="C142" s="86"/>
      <c r="D142" s="86"/>
      <c r="E142" s="86"/>
      <c r="F142" s="86"/>
      <c r="G142" s="86"/>
      <c r="H142" s="86"/>
      <c r="I142" s="86"/>
      <c r="J142" s="86"/>
      <c r="K142" s="93" t="s">
        <v>106997</v>
      </c>
      <c r="L142" s="88" t="s">
        <v>113446</v>
      </c>
      <c r="M142" s="99" t="s">
        <v>113867</v>
      </c>
      <c r="N142" s="90">
        <v>45852</v>
      </c>
      <c r="O142" s="90" t="s">
        <v>113010</v>
      </c>
      <c r="P142" s="91" t="s">
        <v>113007</v>
      </c>
      <c r="Q142" s="91" t="s">
        <v>112999</v>
      </c>
      <c r="R142" s="350">
        <v>50000000</v>
      </c>
      <c r="S142" s="576">
        <v>50000000</v>
      </c>
      <c r="T142" s="570">
        <v>50000000</v>
      </c>
      <c r="U142" s="432"/>
      <c r="V142" s="128"/>
      <c r="W142" s="93" t="s">
        <v>113003</v>
      </c>
      <c r="X142" s="93" t="s">
        <v>113003</v>
      </c>
      <c r="Y142" s="550"/>
      <c r="Z142" s="550"/>
      <c r="AA142" s="550"/>
      <c r="AB142" s="562"/>
      <c r="AC142" s="550"/>
      <c r="AD142" s="550"/>
      <c r="AE142" s="550"/>
      <c r="AF142" s="550"/>
      <c r="AG142" s="550"/>
      <c r="AH142" s="550"/>
      <c r="AI142" s="562"/>
      <c r="AJ142" s="571"/>
      <c r="AK142" s="574"/>
      <c r="AL142" s="573"/>
    </row>
    <row r="143" spans="2:38" ht="56.25" customHeight="1" x14ac:dyDescent="0.2">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72">
        <v>0</v>
      </c>
      <c r="AK143" s="575"/>
      <c r="AL143" s="573"/>
    </row>
    <row r="144" spans="2:38" ht="148.5" customHeight="1" x14ac:dyDescent="0.2">
      <c r="B144" s="85"/>
      <c r="C144" s="86"/>
      <c r="D144" s="86"/>
      <c r="E144" s="86"/>
      <c r="F144" s="86"/>
      <c r="G144" s="86"/>
      <c r="H144" s="86"/>
      <c r="I144" s="86"/>
      <c r="J144" s="86"/>
      <c r="K144" s="93" t="s">
        <v>106997</v>
      </c>
      <c r="L144" s="88" t="s">
        <v>113266</v>
      </c>
      <c r="M144" s="89" t="s">
        <v>113819</v>
      </c>
      <c r="N144" s="90">
        <v>45666</v>
      </c>
      <c r="O144" s="90">
        <v>45666</v>
      </c>
      <c r="P144" s="91" t="s">
        <v>113002</v>
      </c>
      <c r="Q144" s="91" t="s">
        <v>113053</v>
      </c>
      <c r="R144" s="456">
        <v>62700000</v>
      </c>
      <c r="S144" s="430">
        <f>6000000*6+6000000+6000000</f>
        <v>48000000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
      <c r="B145" s="85"/>
      <c r="C145" s="86"/>
      <c r="D145" s="86"/>
      <c r="E145" s="86"/>
      <c r="F145" s="86"/>
      <c r="G145" s="86"/>
      <c r="H145" s="86"/>
      <c r="I145" s="86"/>
      <c r="J145" s="86"/>
      <c r="K145" s="93" t="s">
        <v>106997</v>
      </c>
      <c r="L145" s="88" t="s">
        <v>113252</v>
      </c>
      <c r="M145" s="89" t="s">
        <v>113820</v>
      </c>
      <c r="N145" s="90">
        <v>45666</v>
      </c>
      <c r="O145" s="90">
        <v>45666</v>
      </c>
      <c r="P145" s="91" t="s">
        <v>113002</v>
      </c>
      <c r="Q145" s="91" t="s">
        <v>113053</v>
      </c>
      <c r="R145" s="456">
        <v>62700000</v>
      </c>
      <c r="S145" s="430">
        <f>36000000+6000000</f>
        <v>42000000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
      <c r="B146" s="85"/>
      <c r="C146" s="86"/>
      <c r="D146" s="86"/>
      <c r="E146" s="86"/>
      <c r="F146" s="86"/>
      <c r="G146" s="86"/>
      <c r="H146" s="86"/>
      <c r="I146" s="86"/>
      <c r="J146" s="86"/>
      <c r="K146" s="93" t="s">
        <v>106997</v>
      </c>
      <c r="L146" s="88" t="s">
        <v>113266</v>
      </c>
      <c r="M146" s="89" t="s">
        <v>113821</v>
      </c>
      <c r="N146" s="90">
        <v>45666</v>
      </c>
      <c r="O146" s="90">
        <v>45666</v>
      </c>
      <c r="P146" s="91" t="s">
        <v>113002</v>
      </c>
      <c r="Q146" s="91" t="s">
        <v>113053</v>
      </c>
      <c r="R146" s="456">
        <v>45100000</v>
      </c>
      <c r="S146" s="430">
        <f>4300000*6+4300000+4300000</f>
        <v>34400000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
      <c r="B147" s="85"/>
      <c r="C147" s="86"/>
      <c r="D147" s="86"/>
      <c r="E147" s="86"/>
      <c r="F147" s="86"/>
      <c r="G147" s="86"/>
      <c r="H147" s="86"/>
      <c r="I147" s="86"/>
      <c r="J147" s="86"/>
      <c r="K147" s="93" t="s">
        <v>106997</v>
      </c>
      <c r="L147" s="52">
        <v>80101500</v>
      </c>
      <c r="M147" s="89" t="s">
        <v>113802</v>
      </c>
      <c r="N147" s="90">
        <v>45664</v>
      </c>
      <c r="O147" s="90">
        <v>45666</v>
      </c>
      <c r="P147" s="91" t="s">
        <v>113002</v>
      </c>
      <c r="Q147" s="91" t="s">
        <v>113071</v>
      </c>
      <c r="R147" s="456">
        <f>5700000*11</f>
        <v>62700000</v>
      </c>
      <c r="S147" s="430">
        <f>6000000*6+6000000</f>
        <v>42000000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
      <c r="B148" s="85"/>
      <c r="C148" s="86"/>
      <c r="D148" s="86"/>
      <c r="E148" s="86"/>
      <c r="F148" s="86"/>
      <c r="G148" s="86"/>
      <c r="H148" s="86"/>
      <c r="I148" s="86"/>
      <c r="J148" s="86"/>
      <c r="K148" s="93" t="s">
        <v>106997</v>
      </c>
      <c r="L148" s="198">
        <v>80101500</v>
      </c>
      <c r="M148" s="126" t="s">
        <v>113823</v>
      </c>
      <c r="N148" s="90">
        <v>45664</v>
      </c>
      <c r="O148" s="90">
        <v>45666</v>
      </c>
      <c r="P148" s="91" t="s">
        <v>113002</v>
      </c>
      <c r="Q148" s="91" t="s">
        <v>113053</v>
      </c>
      <c r="R148" s="456">
        <f>3200000*11</f>
        <v>35200000</v>
      </c>
      <c r="S148" s="430">
        <f>25800000+4300000</f>
        <v>30100000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
      <c r="B149" s="85"/>
      <c r="C149" s="86"/>
      <c r="D149" s="86"/>
      <c r="E149" s="86"/>
      <c r="F149" s="86"/>
      <c r="G149" s="86"/>
      <c r="H149" s="86"/>
      <c r="I149" s="86"/>
      <c r="J149" s="86"/>
      <c r="K149" s="93" t="s">
        <v>106997</v>
      </c>
      <c r="L149" s="52">
        <v>80101500</v>
      </c>
      <c r="M149" s="99" t="s">
        <v>113801</v>
      </c>
      <c r="N149" s="90">
        <v>45677</v>
      </c>
      <c r="O149" s="90" t="s">
        <v>113037</v>
      </c>
      <c r="P149" s="91" t="s">
        <v>113002</v>
      </c>
      <c r="Q149" s="91" t="s">
        <v>113053</v>
      </c>
      <c r="R149" s="456">
        <f>3200000*11</f>
        <v>35200000</v>
      </c>
      <c r="S149" s="430">
        <f>3400000*6+13600000</f>
        <v>34000000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f>40000000-6300000-6300000-10800000-13600000</f>
        <v>3000000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
      <c r="B151" s="85"/>
      <c r="C151" s="86"/>
      <c r="D151" s="86"/>
      <c r="E151" s="86"/>
      <c r="F151" s="86"/>
      <c r="G151" s="86"/>
      <c r="H151" s="86"/>
      <c r="I151" s="86"/>
      <c r="J151" s="86"/>
      <c r="K151" s="93" t="s">
        <v>106997</v>
      </c>
      <c r="L151" s="52">
        <v>80101500</v>
      </c>
      <c r="M151" s="99" t="s">
        <v>113834</v>
      </c>
      <c r="N151" s="90">
        <v>45706</v>
      </c>
      <c r="O151" s="90" t="s">
        <v>113001</v>
      </c>
      <c r="P151" s="91" t="s">
        <v>113007</v>
      </c>
      <c r="Q151" s="91" t="s">
        <v>113053</v>
      </c>
      <c r="R151" s="350"/>
      <c r="S151" s="567">
        <f>10800000</f>
        <v>10800000</v>
      </c>
      <c r="T151" s="527"/>
      <c r="U151" s="128"/>
      <c r="V151" s="131"/>
      <c r="W151" s="93" t="s">
        <v>113835</v>
      </c>
      <c r="X151" s="550"/>
      <c r="Y151" s="550"/>
      <c r="Z151" s="550"/>
      <c r="AA151" s="550"/>
      <c r="AB151" s="550"/>
      <c r="AC151" s="550"/>
      <c r="AD151" s="550"/>
      <c r="AE151" s="550"/>
      <c r="AF151" s="550"/>
      <c r="AG151" s="550"/>
      <c r="AH151" s="550"/>
      <c r="AI151" s="550"/>
      <c r="AJ151" s="548"/>
    </row>
    <row r="152" spans="2:36" x14ac:dyDescent="0.2">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38">+R153</f>
        <v>10000000</v>
      </c>
      <c r="S152" s="82">
        <f>+S153</f>
        <v>0</v>
      </c>
      <c r="T152" s="82">
        <f t="shared" si="138"/>
        <v>10000000</v>
      </c>
      <c r="U152" s="83"/>
      <c r="V152" s="83"/>
      <c r="W152" s="118"/>
      <c r="X152" s="82">
        <f t="shared" ref="X152:AI152" si="139">+X153</f>
        <v>0</v>
      </c>
      <c r="Y152" s="82">
        <f t="shared" si="139"/>
        <v>0</v>
      </c>
      <c r="Z152" s="82">
        <f t="shared" si="139"/>
        <v>0</v>
      </c>
      <c r="AA152" s="82">
        <f t="shared" si="139"/>
        <v>0</v>
      </c>
      <c r="AB152" s="82">
        <f t="shared" si="139"/>
        <v>0</v>
      </c>
      <c r="AC152" s="82">
        <f t="shared" si="139"/>
        <v>0</v>
      </c>
      <c r="AD152" s="82">
        <f t="shared" si="139"/>
        <v>0</v>
      </c>
      <c r="AE152" s="82">
        <f t="shared" si="139"/>
        <v>0</v>
      </c>
      <c r="AF152" s="82">
        <f t="shared" si="139"/>
        <v>0</v>
      </c>
      <c r="AG152" s="82">
        <f t="shared" si="139"/>
        <v>0</v>
      </c>
      <c r="AH152" s="82">
        <f t="shared" si="139"/>
        <v>0</v>
      </c>
      <c r="AI152" s="82">
        <f t="shared" si="139"/>
        <v>0</v>
      </c>
      <c r="AJ152" s="548">
        <v>0</v>
      </c>
    </row>
    <row r="153" spans="2:36" ht="90" x14ac:dyDescent="0.2">
      <c r="B153" s="85"/>
      <c r="C153" s="86"/>
      <c r="D153" s="86"/>
      <c r="E153" s="86"/>
      <c r="F153" s="86"/>
      <c r="G153" s="86"/>
      <c r="H153" s="86"/>
      <c r="I153" s="86"/>
      <c r="J153" s="86"/>
      <c r="K153" s="93" t="s">
        <v>106997</v>
      </c>
      <c r="L153" s="52">
        <v>80101500</v>
      </c>
      <c r="M153" s="89" t="s">
        <v>113822</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SUM(R155:R160)</f>
        <v>32000000</v>
      </c>
      <c r="S154" s="82">
        <f>SUM(S155:S160)</f>
        <v>112700000</v>
      </c>
      <c r="T154" s="82">
        <f>SUM(T155:T160)</f>
        <v>46600000</v>
      </c>
      <c r="U154" s="83"/>
      <c r="V154" s="83"/>
      <c r="W154" s="118"/>
      <c r="X154" s="82">
        <f t="shared" ref="X154:AI154" si="140">SUM(X155:X160)</f>
        <v>0</v>
      </c>
      <c r="Y154" s="82">
        <f t="shared" si="140"/>
        <v>0</v>
      </c>
      <c r="Z154" s="82">
        <f t="shared" si="140"/>
        <v>0</v>
      </c>
      <c r="AA154" s="82">
        <f t="shared" si="140"/>
        <v>0</v>
      </c>
      <c r="AB154" s="82">
        <f t="shared" si="140"/>
        <v>0</v>
      </c>
      <c r="AC154" s="82">
        <f t="shared" si="140"/>
        <v>0</v>
      </c>
      <c r="AD154" s="82">
        <f t="shared" si="140"/>
        <v>0</v>
      </c>
      <c r="AE154" s="82">
        <f t="shared" si="140"/>
        <v>0</v>
      </c>
      <c r="AF154" s="82">
        <f t="shared" si="140"/>
        <v>0</v>
      </c>
      <c r="AG154" s="82">
        <f t="shared" si="140"/>
        <v>0</v>
      </c>
      <c r="AH154" s="82">
        <f t="shared" si="140"/>
        <v>0</v>
      </c>
      <c r="AI154" s="82">
        <f t="shared" si="140"/>
        <v>0</v>
      </c>
      <c r="AJ154" s="548">
        <v>0</v>
      </c>
    </row>
    <row r="155" spans="2:36" ht="30" x14ac:dyDescent="0.2">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f>16200000+10800000</f>
        <v>27000000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f>16200000+2700000</f>
        <v>18900000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s="563" customFormat="1" ht="30" x14ac:dyDescent="0.2">
      <c r="B157" s="579"/>
      <c r="C157" s="565"/>
      <c r="D157" s="565"/>
      <c r="E157" s="565"/>
      <c r="F157" s="565"/>
      <c r="G157" s="565"/>
      <c r="H157" s="565"/>
      <c r="I157" s="565"/>
      <c r="J157" s="565"/>
      <c r="K157" s="580"/>
      <c r="L157" s="88">
        <v>80111600</v>
      </c>
      <c r="M157" s="89" t="s">
        <v>113873</v>
      </c>
      <c r="N157" s="90">
        <v>45880</v>
      </c>
      <c r="O157" s="90" t="s">
        <v>113010</v>
      </c>
      <c r="P157" s="91" t="s">
        <v>113045</v>
      </c>
      <c r="Q157" s="91" t="s">
        <v>113053</v>
      </c>
      <c r="R157" s="92"/>
      <c r="S157" s="92">
        <v>3600000</v>
      </c>
      <c r="T157" s="434"/>
      <c r="U157" s="128"/>
      <c r="V157" s="131"/>
      <c r="W157" s="93" t="s">
        <v>113029</v>
      </c>
      <c r="X157" s="581"/>
      <c r="Y157" s="581"/>
      <c r="Z157" s="581"/>
      <c r="AA157" s="581"/>
      <c r="AB157" s="581"/>
      <c r="AC157" s="581"/>
      <c r="AD157" s="581"/>
      <c r="AE157" s="581"/>
      <c r="AF157" s="581"/>
      <c r="AG157" s="581"/>
      <c r="AH157" s="581"/>
      <c r="AI157" s="581"/>
      <c r="AJ157" s="582"/>
    </row>
    <row r="158" spans="2:36" ht="30" x14ac:dyDescent="0.2">
      <c r="B158" s="85"/>
      <c r="C158" s="86"/>
      <c r="D158" s="86"/>
      <c r="E158" s="86"/>
      <c r="F158" s="86"/>
      <c r="G158" s="86"/>
      <c r="H158" s="86"/>
      <c r="I158" s="86"/>
      <c r="J158" s="86"/>
      <c r="K158" s="93"/>
      <c r="L158" s="88">
        <v>80111600</v>
      </c>
      <c r="M158" s="99" t="s">
        <v>113272</v>
      </c>
      <c r="N158" s="90">
        <v>45300</v>
      </c>
      <c r="O158" s="90" t="s">
        <v>113060</v>
      </c>
      <c r="P158" s="91" t="s">
        <v>113002</v>
      </c>
      <c r="Q158" s="91" t="s">
        <v>113053</v>
      </c>
      <c r="R158" s="92"/>
      <c r="S158" s="92">
        <f>10800000+1800000</f>
        <v>12600000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30" x14ac:dyDescent="0.2">
      <c r="B159" s="85"/>
      <c r="C159" s="86"/>
      <c r="D159" s="86"/>
      <c r="E159" s="86"/>
      <c r="F159" s="86"/>
      <c r="G159" s="86"/>
      <c r="H159" s="86"/>
      <c r="I159" s="86"/>
      <c r="J159" s="86"/>
      <c r="K159" s="93"/>
      <c r="L159" s="88">
        <v>80111600</v>
      </c>
      <c r="M159" s="89" t="s">
        <v>113800</v>
      </c>
      <c r="N159" s="90">
        <v>45505</v>
      </c>
      <c r="O159" s="90" t="s">
        <v>113010</v>
      </c>
      <c r="P159" s="91" t="s">
        <v>113002</v>
      </c>
      <c r="Q159" s="91" t="s">
        <v>113053</v>
      </c>
      <c r="R159" s="92"/>
      <c r="S159" s="92">
        <f>10800000+1800000</f>
        <v>12600000</v>
      </c>
      <c r="T159" s="434">
        <v>9800000</v>
      </c>
      <c r="U159" s="128"/>
      <c r="V159" s="131"/>
      <c r="W159" s="93" t="s">
        <v>113054</v>
      </c>
      <c r="X159" s="549"/>
      <c r="Y159" s="549"/>
      <c r="Z159" s="549"/>
      <c r="AA159" s="549"/>
      <c r="AB159" s="549"/>
      <c r="AC159" s="549"/>
      <c r="AD159" s="549"/>
      <c r="AE159" s="549"/>
      <c r="AF159" s="549"/>
      <c r="AG159" s="549"/>
      <c r="AH159" s="549"/>
      <c r="AI159" s="549"/>
      <c r="AJ159" s="548">
        <v>0</v>
      </c>
    </row>
    <row r="160" spans="2:36" ht="120" x14ac:dyDescent="0.2">
      <c r="B160" s="85"/>
      <c r="C160" s="86"/>
      <c r="D160" s="86"/>
      <c r="E160" s="86"/>
      <c r="F160" s="86"/>
      <c r="G160" s="86"/>
      <c r="H160" s="86"/>
      <c r="I160" s="86"/>
      <c r="J160" s="86"/>
      <c r="K160" s="93" t="s">
        <v>106997</v>
      </c>
      <c r="L160" s="88">
        <v>80161500</v>
      </c>
      <c r="M160" s="89" t="s">
        <v>113828</v>
      </c>
      <c r="N160" s="90">
        <v>45749</v>
      </c>
      <c r="O160" s="90" t="s">
        <v>113006</v>
      </c>
      <c r="P160" s="91" t="s">
        <v>113002</v>
      </c>
      <c r="Q160" s="127" t="s">
        <v>113053</v>
      </c>
      <c r="R160" s="473">
        <v>32000000</v>
      </c>
      <c r="S160" s="577">
        <f>32000000+6000000</f>
        <v>38000000</v>
      </c>
      <c r="T160" s="434">
        <v>0</v>
      </c>
      <c r="U160" s="128"/>
      <c r="V160" s="131"/>
      <c r="W160" s="93" t="s">
        <v>113054</v>
      </c>
      <c r="X160" s="552"/>
      <c r="Y160" s="552"/>
      <c r="Z160" s="552"/>
      <c r="AA160" s="552"/>
      <c r="AB160" s="552"/>
      <c r="AC160" s="552"/>
      <c r="AD160" s="552"/>
      <c r="AE160" s="552"/>
      <c r="AF160" s="552"/>
      <c r="AG160" s="552"/>
      <c r="AH160" s="552"/>
      <c r="AI160" s="552"/>
      <c r="AJ160" s="548">
        <v>0</v>
      </c>
    </row>
    <row r="161" spans="2:36" ht="30" x14ac:dyDescent="0.2">
      <c r="B161" s="313" t="s">
        <v>105516</v>
      </c>
      <c r="C161" s="313" t="s">
        <v>105573</v>
      </c>
      <c r="D161" s="313" t="s">
        <v>105573</v>
      </c>
      <c r="E161" s="313" t="s">
        <v>105573</v>
      </c>
      <c r="F161" s="313" t="s">
        <v>105553</v>
      </c>
      <c r="G161" s="313" t="s">
        <v>105541</v>
      </c>
      <c r="H161" s="69"/>
      <c r="I161" s="69"/>
      <c r="J161" s="374"/>
      <c r="K161" s="69"/>
      <c r="L161" s="70"/>
      <c r="M161" s="71" t="s">
        <v>107040</v>
      </c>
      <c r="N161" s="72"/>
      <c r="O161" s="72"/>
      <c r="P161" s="73"/>
      <c r="Q161" s="73"/>
      <c r="R161" s="74">
        <f t="shared" ref="R161:T161" si="141">R162+R165</f>
        <v>60000000</v>
      </c>
      <c r="S161" s="74">
        <f t="shared" si="141"/>
        <v>60000000</v>
      </c>
      <c r="T161" s="74">
        <f t="shared" si="141"/>
        <v>0</v>
      </c>
      <c r="U161" s="75"/>
      <c r="V161" s="75"/>
      <c r="W161" s="69"/>
      <c r="X161" s="74">
        <f t="shared" ref="X161:Y161" si="142">X162+X165</f>
        <v>0</v>
      </c>
      <c r="Y161" s="74">
        <f t="shared" si="142"/>
        <v>0</v>
      </c>
      <c r="Z161" s="74">
        <f t="shared" ref="Z161:AC161" si="143">Z162+Z165</f>
        <v>0</v>
      </c>
      <c r="AA161" s="74">
        <f t="shared" si="143"/>
        <v>0</v>
      </c>
      <c r="AB161" s="74">
        <f t="shared" si="143"/>
        <v>0</v>
      </c>
      <c r="AC161" s="74">
        <f t="shared" si="143"/>
        <v>0</v>
      </c>
      <c r="AD161" s="74">
        <f t="shared" ref="AD161:AI161" si="144">AD162+AD165</f>
        <v>0</v>
      </c>
      <c r="AE161" s="74">
        <f t="shared" si="144"/>
        <v>0</v>
      </c>
      <c r="AF161" s="74">
        <f t="shared" si="144"/>
        <v>0</v>
      </c>
      <c r="AG161" s="74">
        <f t="shared" si="144"/>
        <v>0</v>
      </c>
      <c r="AH161" s="74">
        <f t="shared" si="144"/>
        <v>0</v>
      </c>
      <c r="AI161" s="74">
        <f t="shared" si="144"/>
        <v>0</v>
      </c>
      <c r="AJ161" s="548">
        <v>0</v>
      </c>
    </row>
    <row r="162" spans="2:36" x14ac:dyDescent="0.2">
      <c r="B162" s="77" t="s">
        <v>105516</v>
      </c>
      <c r="C162" s="77" t="s">
        <v>105573</v>
      </c>
      <c r="D162" s="77" t="s">
        <v>105573</v>
      </c>
      <c r="E162" s="77" t="s">
        <v>105573</v>
      </c>
      <c r="F162" s="77" t="s">
        <v>105553</v>
      </c>
      <c r="G162" s="77" t="s">
        <v>105541</v>
      </c>
      <c r="H162" s="77" t="s">
        <v>105520</v>
      </c>
      <c r="I162" s="77"/>
      <c r="J162" s="375"/>
      <c r="K162" s="77"/>
      <c r="L162" s="395"/>
      <c r="M162" s="79" t="s">
        <v>107042</v>
      </c>
      <c r="N162" s="80"/>
      <c r="O162" s="80"/>
      <c r="P162" s="81"/>
      <c r="Q162" s="81"/>
      <c r="R162" s="82">
        <f t="shared" ref="R162:T162" si="145">R163+R164</f>
        <v>60000000</v>
      </c>
      <c r="S162" s="82">
        <f t="shared" si="145"/>
        <v>60000000</v>
      </c>
      <c r="T162" s="82">
        <f t="shared" si="145"/>
        <v>0</v>
      </c>
      <c r="U162" s="83"/>
      <c r="V162" s="83"/>
      <c r="W162" s="118"/>
      <c r="X162" s="82">
        <f t="shared" ref="X162:Y162" si="146">X163+X164</f>
        <v>0</v>
      </c>
      <c r="Y162" s="82">
        <f t="shared" si="146"/>
        <v>0</v>
      </c>
      <c r="Z162" s="82">
        <f t="shared" ref="Z162:AC162" si="147">Z163+Z164</f>
        <v>0</v>
      </c>
      <c r="AA162" s="82">
        <f t="shared" si="147"/>
        <v>0</v>
      </c>
      <c r="AB162" s="82">
        <f t="shared" si="147"/>
        <v>0</v>
      </c>
      <c r="AC162" s="82">
        <f t="shared" si="147"/>
        <v>0</v>
      </c>
      <c r="AD162" s="82">
        <f t="shared" ref="AD162:AI162" si="148">AD163+AD164</f>
        <v>0</v>
      </c>
      <c r="AE162" s="82">
        <f t="shared" si="148"/>
        <v>0</v>
      </c>
      <c r="AF162" s="82">
        <f t="shared" si="148"/>
        <v>0</v>
      </c>
      <c r="AG162" s="82">
        <f t="shared" si="148"/>
        <v>0</v>
      </c>
      <c r="AH162" s="82">
        <f t="shared" si="148"/>
        <v>0</v>
      </c>
      <c r="AI162" s="82">
        <f t="shared" si="148"/>
        <v>0</v>
      </c>
      <c r="AJ162" s="548">
        <v>0</v>
      </c>
    </row>
    <row r="163" spans="2:36" ht="18" customHeight="1" x14ac:dyDescent="0.2">
      <c r="B163" s="85"/>
      <c r="C163" s="86"/>
      <c r="D163" s="86"/>
      <c r="E163" s="86"/>
      <c r="F163" s="86"/>
      <c r="G163" s="86"/>
      <c r="H163" s="86"/>
      <c r="I163" s="86"/>
      <c r="J163" s="86"/>
      <c r="K163" s="93" t="s">
        <v>107039</v>
      </c>
      <c r="L163" s="52"/>
      <c r="M163" s="99" t="s">
        <v>113099</v>
      </c>
      <c r="N163" s="90">
        <v>45659</v>
      </c>
      <c r="O163" s="90" t="s">
        <v>113060</v>
      </c>
      <c r="P163" s="127" t="s">
        <v>113068</v>
      </c>
      <c r="Q163" s="91" t="s">
        <v>113031</v>
      </c>
      <c r="R163" s="92">
        <v>58000000</v>
      </c>
      <c r="S163" s="92">
        <v>58000000</v>
      </c>
      <c r="T163" s="92">
        <v>0</v>
      </c>
      <c r="U163" s="93"/>
      <c r="V163" s="124"/>
      <c r="W163" s="93" t="s">
        <v>113064</v>
      </c>
      <c r="X163" s="549"/>
      <c r="Y163" s="549"/>
      <c r="Z163" s="549"/>
      <c r="AA163" s="549"/>
      <c r="AB163" s="549"/>
      <c r="AC163" s="549"/>
      <c r="AD163" s="549"/>
      <c r="AE163" s="549"/>
      <c r="AF163" s="549"/>
      <c r="AG163" s="549"/>
      <c r="AH163" s="549"/>
      <c r="AI163" s="549"/>
      <c r="AJ163" s="548">
        <v>0</v>
      </c>
    </row>
    <row r="164" spans="2:36" x14ac:dyDescent="0.2">
      <c r="B164" s="85"/>
      <c r="C164" s="86"/>
      <c r="D164" s="86"/>
      <c r="E164" s="86"/>
      <c r="F164" s="86"/>
      <c r="G164" s="86"/>
      <c r="H164" s="86"/>
      <c r="I164" s="86"/>
      <c r="J164" s="86"/>
      <c r="K164" s="93" t="s">
        <v>107039</v>
      </c>
      <c r="L164" s="52"/>
      <c r="M164" s="99" t="s">
        <v>113100</v>
      </c>
      <c r="N164" s="90" t="s">
        <v>113031</v>
      </c>
      <c r="O164" s="90" t="s">
        <v>113031</v>
      </c>
      <c r="P164" s="91" t="s">
        <v>113031</v>
      </c>
      <c r="Q164" s="91" t="s">
        <v>113031</v>
      </c>
      <c r="R164" s="92">
        <v>2000000</v>
      </c>
      <c r="S164" s="430">
        <v>2000000</v>
      </c>
      <c r="T164" s="430">
        <v>0</v>
      </c>
      <c r="U164" s="93"/>
      <c r="V164" s="124"/>
      <c r="W164" s="93"/>
      <c r="X164" s="548"/>
      <c r="Y164" s="548"/>
      <c r="Z164" s="548"/>
      <c r="AA164" s="548"/>
      <c r="AB164" s="548"/>
      <c r="AC164" s="548"/>
      <c r="AD164" s="548"/>
      <c r="AE164" s="548"/>
      <c r="AF164" s="548"/>
      <c r="AG164" s="548"/>
      <c r="AH164" s="548"/>
      <c r="AI164" s="548"/>
      <c r="AJ164" s="548">
        <v>0</v>
      </c>
    </row>
    <row r="165" spans="2:36" x14ac:dyDescent="0.2">
      <c r="B165" s="77" t="s">
        <v>105516</v>
      </c>
      <c r="C165" s="77" t="s">
        <v>105573</v>
      </c>
      <c r="D165" s="77" t="s">
        <v>105573</v>
      </c>
      <c r="E165" s="77" t="s">
        <v>105573</v>
      </c>
      <c r="F165" s="77" t="s">
        <v>105553</v>
      </c>
      <c r="G165" s="77" t="s">
        <v>105541</v>
      </c>
      <c r="H165" s="77" t="s">
        <v>105573</v>
      </c>
      <c r="I165" s="77"/>
      <c r="J165" s="375"/>
      <c r="K165" s="77"/>
      <c r="L165" s="395"/>
      <c r="M165" s="79" t="s">
        <v>113229</v>
      </c>
      <c r="N165" s="80"/>
      <c r="O165" s="80"/>
      <c r="P165" s="81"/>
      <c r="Q165" s="81"/>
      <c r="R165" s="82">
        <f t="shared" ref="R165:T165" si="149">R166</f>
        <v>0</v>
      </c>
      <c r="S165" s="82">
        <f t="shared" si="149"/>
        <v>0</v>
      </c>
      <c r="T165" s="82">
        <f t="shared" si="149"/>
        <v>0</v>
      </c>
      <c r="U165" s="83"/>
      <c r="V165" s="83"/>
      <c r="W165" s="118"/>
      <c r="X165" s="82">
        <f t="shared" ref="X165:AI165" si="150">X166</f>
        <v>0</v>
      </c>
      <c r="Y165" s="82">
        <f t="shared" si="150"/>
        <v>0</v>
      </c>
      <c r="Z165" s="82">
        <f t="shared" si="150"/>
        <v>0</v>
      </c>
      <c r="AA165" s="82">
        <f t="shared" si="150"/>
        <v>0</v>
      </c>
      <c r="AB165" s="82">
        <f t="shared" si="150"/>
        <v>0</v>
      </c>
      <c r="AC165" s="82">
        <f t="shared" si="150"/>
        <v>0</v>
      </c>
      <c r="AD165" s="82">
        <f t="shared" si="150"/>
        <v>0</v>
      </c>
      <c r="AE165" s="82">
        <f t="shared" si="150"/>
        <v>0</v>
      </c>
      <c r="AF165" s="82">
        <f t="shared" si="150"/>
        <v>0</v>
      </c>
      <c r="AG165" s="82">
        <f t="shared" si="150"/>
        <v>0</v>
      </c>
      <c r="AH165" s="82">
        <f t="shared" si="150"/>
        <v>0</v>
      </c>
      <c r="AI165" s="82">
        <f t="shared" si="150"/>
        <v>0</v>
      </c>
      <c r="AJ165" s="548">
        <v>0</v>
      </c>
    </row>
    <row r="166" spans="2:36" x14ac:dyDescent="0.2">
      <c r="B166" s="87"/>
      <c r="C166" s="87"/>
      <c r="D166" s="87"/>
      <c r="E166" s="87"/>
      <c r="F166" s="87"/>
      <c r="G166" s="87"/>
      <c r="H166" s="87"/>
      <c r="I166" s="87"/>
      <c r="J166" s="86"/>
      <c r="K166" s="93" t="s">
        <v>107039</v>
      </c>
      <c r="L166" s="52">
        <v>81112100</v>
      </c>
      <c r="M166" s="89" t="s">
        <v>113451</v>
      </c>
      <c r="N166" s="90">
        <v>45659</v>
      </c>
      <c r="O166" s="90" t="s">
        <v>113060</v>
      </c>
      <c r="P166" s="127" t="s">
        <v>113068</v>
      </c>
      <c r="Q166" s="91" t="s">
        <v>113031</v>
      </c>
      <c r="R166" s="92">
        <v>0</v>
      </c>
      <c r="S166" s="92">
        <v>0</v>
      </c>
      <c r="T166" s="92">
        <v>0</v>
      </c>
      <c r="U166" s="93"/>
      <c r="V166" s="124"/>
      <c r="W166" s="93" t="s">
        <v>113003</v>
      </c>
      <c r="X166" s="549">
        <v>0</v>
      </c>
      <c r="Y166" s="549">
        <v>0</v>
      </c>
      <c r="Z166" s="549">
        <v>0</v>
      </c>
      <c r="AA166" s="549">
        <v>0</v>
      </c>
      <c r="AB166" s="549">
        <v>0</v>
      </c>
      <c r="AC166" s="549">
        <v>0</v>
      </c>
      <c r="AD166" s="549">
        <v>0</v>
      </c>
      <c r="AE166" s="549">
        <v>0</v>
      </c>
      <c r="AF166" s="549">
        <v>0</v>
      </c>
      <c r="AG166" s="549">
        <v>0</v>
      </c>
      <c r="AH166" s="549">
        <v>0</v>
      </c>
      <c r="AI166" s="549">
        <v>0</v>
      </c>
      <c r="AJ166" s="548">
        <v>0</v>
      </c>
    </row>
    <row r="167" spans="2:36" x14ac:dyDescent="0.2">
      <c r="B167" s="313" t="s">
        <v>105516</v>
      </c>
      <c r="C167" s="313" t="s">
        <v>105573</v>
      </c>
      <c r="D167" s="313" t="s">
        <v>105573</v>
      </c>
      <c r="E167" s="313" t="s">
        <v>105573</v>
      </c>
      <c r="F167" s="313" t="s">
        <v>105553</v>
      </c>
      <c r="G167" s="316" t="s">
        <v>105544</v>
      </c>
      <c r="H167" s="69"/>
      <c r="I167" s="69"/>
      <c r="J167" s="374"/>
      <c r="K167" s="69"/>
      <c r="L167" s="70"/>
      <c r="M167" s="71" t="s">
        <v>107054</v>
      </c>
      <c r="N167" s="72"/>
      <c r="O167" s="72"/>
      <c r="P167" s="73"/>
      <c r="Q167" s="73"/>
      <c r="R167" s="74">
        <f t="shared" ref="R167:T167" si="151">R168+R170</f>
        <v>30000000</v>
      </c>
      <c r="S167" s="74">
        <f>S168+S170+S173</f>
        <v>39289206</v>
      </c>
      <c r="T167" s="74">
        <f t="shared" si="151"/>
        <v>30000000</v>
      </c>
      <c r="U167" s="75"/>
      <c r="V167" s="75"/>
      <c r="W167" s="69"/>
      <c r="X167" s="74">
        <f t="shared" ref="X167:Y167" si="152">X168+X170</f>
        <v>0</v>
      </c>
      <c r="Y167" s="74">
        <f t="shared" si="152"/>
        <v>0</v>
      </c>
      <c r="Z167" s="74">
        <f t="shared" ref="Z167:AC167" si="153">Z168+Z170</f>
        <v>0</v>
      </c>
      <c r="AA167" s="74">
        <f t="shared" si="153"/>
        <v>0</v>
      </c>
      <c r="AB167" s="74">
        <f t="shared" si="153"/>
        <v>0</v>
      </c>
      <c r="AC167" s="74">
        <f t="shared" si="153"/>
        <v>0</v>
      </c>
      <c r="AD167" s="74">
        <f t="shared" ref="AD167:AI167" si="154">AD168+AD170</f>
        <v>0</v>
      </c>
      <c r="AE167" s="74">
        <f t="shared" si="154"/>
        <v>0</v>
      </c>
      <c r="AF167" s="74">
        <f t="shared" si="154"/>
        <v>0</v>
      </c>
      <c r="AG167" s="74">
        <f t="shared" si="154"/>
        <v>0</v>
      </c>
      <c r="AH167" s="74">
        <f t="shared" si="154"/>
        <v>0</v>
      </c>
      <c r="AI167" s="74">
        <f t="shared" si="154"/>
        <v>0</v>
      </c>
      <c r="AJ167" s="548">
        <v>0</v>
      </c>
    </row>
    <row r="168" spans="2:36" x14ac:dyDescent="0.2">
      <c r="B168" s="77" t="s">
        <v>105516</v>
      </c>
      <c r="C168" s="77" t="s">
        <v>105573</v>
      </c>
      <c r="D168" s="77" t="s">
        <v>105573</v>
      </c>
      <c r="E168" s="77" t="s">
        <v>105573</v>
      </c>
      <c r="F168" s="77" t="s">
        <v>105553</v>
      </c>
      <c r="G168" s="78" t="s">
        <v>105544</v>
      </c>
      <c r="H168" s="78" t="s">
        <v>105520</v>
      </c>
      <c r="I168" s="77"/>
      <c r="J168" s="375"/>
      <c r="K168" s="77"/>
      <c r="L168" s="395"/>
      <c r="M168" s="79" t="s">
        <v>107056</v>
      </c>
      <c r="N168" s="80"/>
      <c r="O168" s="80"/>
      <c r="P168" s="81"/>
      <c r="Q168" s="81"/>
      <c r="R168" s="82">
        <f t="shared" ref="R168:T168" si="155">R169</f>
        <v>30000000</v>
      </c>
      <c r="S168" s="82">
        <f t="shared" si="155"/>
        <v>14089206</v>
      </c>
      <c r="T168" s="82">
        <f t="shared" si="155"/>
        <v>30000000</v>
      </c>
      <c r="U168" s="83"/>
      <c r="V168" s="83"/>
      <c r="W168" s="118"/>
      <c r="X168" s="82">
        <f t="shared" ref="X168:AI168" si="156">X169</f>
        <v>0</v>
      </c>
      <c r="Y168" s="82">
        <f t="shared" si="156"/>
        <v>0</v>
      </c>
      <c r="Z168" s="82">
        <f t="shared" si="156"/>
        <v>0</v>
      </c>
      <c r="AA168" s="82">
        <f t="shared" si="156"/>
        <v>0</v>
      </c>
      <c r="AB168" s="82">
        <f t="shared" si="156"/>
        <v>0</v>
      </c>
      <c r="AC168" s="82">
        <f t="shared" si="156"/>
        <v>0</v>
      </c>
      <c r="AD168" s="82">
        <f t="shared" si="156"/>
        <v>0</v>
      </c>
      <c r="AE168" s="82">
        <f t="shared" si="156"/>
        <v>0</v>
      </c>
      <c r="AF168" s="82">
        <f t="shared" si="156"/>
        <v>0</v>
      </c>
      <c r="AG168" s="82">
        <f t="shared" si="156"/>
        <v>0</v>
      </c>
      <c r="AH168" s="82">
        <f t="shared" si="156"/>
        <v>0</v>
      </c>
      <c r="AI168" s="82">
        <f t="shared" si="156"/>
        <v>0</v>
      </c>
      <c r="AJ168" s="548">
        <v>0</v>
      </c>
    </row>
    <row r="169" spans="2:36" x14ac:dyDescent="0.2">
      <c r="B169" s="77"/>
      <c r="C169" s="77"/>
      <c r="D169" s="77"/>
      <c r="E169" s="77"/>
      <c r="F169" s="77"/>
      <c r="G169" s="78"/>
      <c r="H169" s="78"/>
      <c r="I169" s="77"/>
      <c r="J169" s="375"/>
      <c r="K169" s="93" t="s">
        <v>107053</v>
      </c>
      <c r="L169" s="88">
        <v>93141800</v>
      </c>
      <c r="M169" s="99" t="s">
        <v>113374</v>
      </c>
      <c r="N169" s="91" t="s">
        <v>113031</v>
      </c>
      <c r="O169" s="91" t="s">
        <v>113031</v>
      </c>
      <c r="P169" s="91" t="s">
        <v>113031</v>
      </c>
      <c r="Q169" s="91" t="s">
        <v>113031</v>
      </c>
      <c r="R169" s="92">
        <v>30000000</v>
      </c>
      <c r="S169" s="351">
        <v>14089206</v>
      </c>
      <c r="T169" s="351">
        <v>30000000</v>
      </c>
      <c r="U169" s="352"/>
      <c r="V169" s="352"/>
      <c r="W169" s="357" t="s">
        <v>113012</v>
      </c>
      <c r="X169" s="553">
        <v>0</v>
      </c>
      <c r="Y169" s="553">
        <v>0</v>
      </c>
      <c r="Z169" s="553">
        <v>0</v>
      </c>
      <c r="AA169" s="553">
        <v>0</v>
      </c>
      <c r="AB169" s="553">
        <v>0</v>
      </c>
      <c r="AC169" s="553">
        <v>0</v>
      </c>
      <c r="AD169" s="553">
        <v>0</v>
      </c>
      <c r="AE169" s="553">
        <v>0</v>
      </c>
      <c r="AF169" s="553">
        <v>0</v>
      </c>
      <c r="AG169" s="553">
        <v>0</v>
      </c>
      <c r="AH169" s="553">
        <v>0</v>
      </c>
      <c r="AI169" s="553">
        <v>0</v>
      </c>
      <c r="AJ169" s="548">
        <v>0</v>
      </c>
    </row>
    <row r="170" spans="2:36" x14ac:dyDescent="0.2">
      <c r="B170" s="77" t="s">
        <v>105516</v>
      </c>
      <c r="C170" s="77" t="s">
        <v>105573</v>
      </c>
      <c r="D170" s="77" t="s">
        <v>105573</v>
      </c>
      <c r="E170" s="77" t="s">
        <v>105573</v>
      </c>
      <c r="F170" s="77" t="s">
        <v>105553</v>
      </c>
      <c r="G170" s="78" t="s">
        <v>105544</v>
      </c>
      <c r="H170" s="78" t="s">
        <v>106109</v>
      </c>
      <c r="I170" s="77"/>
      <c r="J170" s="375"/>
      <c r="K170" s="77"/>
      <c r="L170" s="395"/>
      <c r="M170" s="79" t="s">
        <v>113695</v>
      </c>
      <c r="N170" s="80"/>
      <c r="O170" s="80"/>
      <c r="P170" s="81"/>
      <c r="Q170" s="81"/>
      <c r="R170" s="82">
        <f>R171</f>
        <v>0</v>
      </c>
      <c r="S170" s="82">
        <f>S171</f>
        <v>0</v>
      </c>
      <c r="T170" s="82">
        <f>T171</f>
        <v>0</v>
      </c>
      <c r="U170" s="83"/>
      <c r="V170" s="83"/>
      <c r="W170" s="118"/>
      <c r="X170" s="82">
        <f t="shared" ref="X170:AI170" si="157">X171</f>
        <v>0</v>
      </c>
      <c r="Y170" s="82">
        <f t="shared" si="157"/>
        <v>0</v>
      </c>
      <c r="Z170" s="82">
        <f t="shared" si="157"/>
        <v>0</v>
      </c>
      <c r="AA170" s="82">
        <f t="shared" si="157"/>
        <v>0</v>
      </c>
      <c r="AB170" s="82">
        <f t="shared" si="157"/>
        <v>0</v>
      </c>
      <c r="AC170" s="82">
        <f t="shared" si="157"/>
        <v>0</v>
      </c>
      <c r="AD170" s="82">
        <f t="shared" si="157"/>
        <v>0</v>
      </c>
      <c r="AE170" s="82">
        <f t="shared" si="157"/>
        <v>0</v>
      </c>
      <c r="AF170" s="82">
        <f t="shared" si="157"/>
        <v>0</v>
      </c>
      <c r="AG170" s="82">
        <f t="shared" si="157"/>
        <v>0</v>
      </c>
      <c r="AH170" s="82">
        <f t="shared" si="157"/>
        <v>0</v>
      </c>
      <c r="AI170" s="82">
        <f t="shared" si="157"/>
        <v>0</v>
      </c>
      <c r="AJ170" s="548">
        <v>0</v>
      </c>
    </row>
    <row r="171" spans="2:36" x14ac:dyDescent="0.2">
      <c r="B171" s="77" t="s">
        <v>105516</v>
      </c>
      <c r="C171" s="77" t="s">
        <v>105573</v>
      </c>
      <c r="D171" s="77" t="s">
        <v>105573</v>
      </c>
      <c r="E171" s="77" t="s">
        <v>105573</v>
      </c>
      <c r="F171" s="77" t="s">
        <v>105553</v>
      </c>
      <c r="G171" s="78" t="s">
        <v>105544</v>
      </c>
      <c r="H171" s="78" t="s">
        <v>106109</v>
      </c>
      <c r="I171" s="77">
        <v>3</v>
      </c>
      <c r="J171" s="375"/>
      <c r="K171" s="77"/>
      <c r="L171" s="395"/>
      <c r="M171" s="79" t="s">
        <v>107072</v>
      </c>
      <c r="N171" s="80"/>
      <c r="O171" s="80"/>
      <c r="P171" s="81"/>
      <c r="Q171" s="81"/>
      <c r="R171" s="82">
        <f t="shared" ref="R171:R173" si="158">R172</f>
        <v>0</v>
      </c>
      <c r="S171" s="82">
        <f>S172</f>
        <v>0</v>
      </c>
      <c r="T171" s="82">
        <f>T172</f>
        <v>0</v>
      </c>
      <c r="U171" s="83"/>
      <c r="V171" s="83"/>
      <c r="W171" s="118"/>
      <c r="X171" s="82">
        <f t="shared" ref="X171:AI173" si="159">X172</f>
        <v>0</v>
      </c>
      <c r="Y171" s="82">
        <f t="shared" si="159"/>
        <v>0</v>
      </c>
      <c r="Z171" s="82">
        <f t="shared" si="159"/>
        <v>0</v>
      </c>
      <c r="AA171" s="82">
        <f t="shared" si="159"/>
        <v>0</v>
      </c>
      <c r="AB171" s="82">
        <f t="shared" si="159"/>
        <v>0</v>
      </c>
      <c r="AC171" s="82">
        <f t="shared" si="159"/>
        <v>0</v>
      </c>
      <c r="AD171" s="82">
        <f t="shared" si="159"/>
        <v>0</v>
      </c>
      <c r="AE171" s="82">
        <f t="shared" si="159"/>
        <v>0</v>
      </c>
      <c r="AF171" s="82">
        <f t="shared" si="159"/>
        <v>0</v>
      </c>
      <c r="AG171" s="82">
        <f t="shared" si="159"/>
        <v>0</v>
      </c>
      <c r="AH171" s="82">
        <f t="shared" si="159"/>
        <v>0</v>
      </c>
      <c r="AI171" s="82">
        <f t="shared" si="159"/>
        <v>0</v>
      </c>
      <c r="AJ171" s="548">
        <v>0</v>
      </c>
    </row>
    <row r="172" spans="2:36" ht="30" x14ac:dyDescent="0.2">
      <c r="B172" s="85"/>
      <c r="C172" s="86"/>
      <c r="D172" s="86"/>
      <c r="E172" s="86"/>
      <c r="F172" s="86"/>
      <c r="G172" s="86"/>
      <c r="H172" s="86"/>
      <c r="I172" s="86"/>
      <c r="J172" s="86"/>
      <c r="K172" s="93" t="s">
        <v>107053</v>
      </c>
      <c r="L172" s="88" t="s">
        <v>113103</v>
      </c>
      <c r="M172" s="99" t="s">
        <v>113696</v>
      </c>
      <c r="N172" s="90">
        <v>45838</v>
      </c>
      <c r="O172" s="90" t="s">
        <v>112997</v>
      </c>
      <c r="P172" s="91" t="s">
        <v>113045</v>
      </c>
      <c r="Q172" s="91" t="s">
        <v>113053</v>
      </c>
      <c r="R172" s="92">
        <v>0</v>
      </c>
      <c r="S172" s="430">
        <v>0</v>
      </c>
      <c r="T172" s="430">
        <v>0</v>
      </c>
      <c r="U172" s="93" t="s">
        <v>106081</v>
      </c>
      <c r="V172" s="124"/>
      <c r="W172" s="93" t="s">
        <v>113029</v>
      </c>
      <c r="X172" s="548">
        <v>0</v>
      </c>
      <c r="Y172" s="548">
        <v>0</v>
      </c>
      <c r="Z172" s="548">
        <v>0</v>
      </c>
      <c r="AA172" s="548">
        <v>0</v>
      </c>
      <c r="AB172" s="548">
        <v>0</v>
      </c>
      <c r="AC172" s="548">
        <v>0</v>
      </c>
      <c r="AD172" s="548">
        <v>0</v>
      </c>
      <c r="AE172" s="548">
        <v>0</v>
      </c>
      <c r="AF172" s="548">
        <v>0</v>
      </c>
      <c r="AG172" s="548">
        <v>0</v>
      </c>
      <c r="AH172" s="548">
        <v>0</v>
      </c>
      <c r="AI172" s="548">
        <v>0</v>
      </c>
      <c r="AJ172" s="548">
        <v>0</v>
      </c>
    </row>
    <row r="173" spans="2:36" x14ac:dyDescent="0.2">
      <c r="B173" s="77" t="s">
        <v>105516</v>
      </c>
      <c r="C173" s="77" t="s">
        <v>105573</v>
      </c>
      <c r="D173" s="77" t="s">
        <v>105573</v>
      </c>
      <c r="E173" s="77" t="s">
        <v>105573</v>
      </c>
      <c r="F173" s="77" t="s">
        <v>105553</v>
      </c>
      <c r="G173" s="78" t="s">
        <v>105544</v>
      </c>
      <c r="H173" s="78" t="s">
        <v>106109</v>
      </c>
      <c r="I173" s="77">
        <v>4</v>
      </c>
      <c r="J173" s="375"/>
      <c r="K173" s="77"/>
      <c r="L173" s="395"/>
      <c r="M173" s="568" t="s">
        <v>107074</v>
      </c>
      <c r="N173" s="107"/>
      <c r="O173" s="107"/>
      <c r="P173" s="108"/>
      <c r="Q173" s="108"/>
      <c r="R173" s="109">
        <f t="shared" si="158"/>
        <v>0</v>
      </c>
      <c r="S173" s="109">
        <f>S174</f>
        <v>25200000</v>
      </c>
      <c r="T173" s="82">
        <f>T174</f>
        <v>0</v>
      </c>
      <c r="U173" s="83"/>
      <c r="V173" s="83"/>
      <c r="W173" s="118"/>
      <c r="X173" s="82">
        <f t="shared" si="159"/>
        <v>0</v>
      </c>
      <c r="Y173" s="82">
        <f t="shared" si="159"/>
        <v>0</v>
      </c>
      <c r="Z173" s="82">
        <f t="shared" si="159"/>
        <v>0</v>
      </c>
      <c r="AA173" s="82">
        <f t="shared" si="159"/>
        <v>0</v>
      </c>
      <c r="AB173" s="82">
        <f t="shared" si="159"/>
        <v>0</v>
      </c>
      <c r="AC173" s="82">
        <f t="shared" si="159"/>
        <v>0</v>
      </c>
      <c r="AD173" s="82">
        <f t="shared" si="159"/>
        <v>0</v>
      </c>
      <c r="AE173" s="82">
        <f t="shared" si="159"/>
        <v>0</v>
      </c>
      <c r="AF173" s="82">
        <f t="shared" si="159"/>
        <v>0</v>
      </c>
      <c r="AG173" s="82">
        <f t="shared" si="159"/>
        <v>0</v>
      </c>
      <c r="AH173" s="82">
        <f t="shared" si="159"/>
        <v>0</v>
      </c>
      <c r="AI173" s="82">
        <f t="shared" si="159"/>
        <v>0</v>
      </c>
      <c r="AJ173" s="548">
        <v>0</v>
      </c>
    </row>
    <row r="174" spans="2:36" ht="30" x14ac:dyDescent="0.2">
      <c r="B174" s="85"/>
      <c r="C174" s="86"/>
      <c r="D174" s="86"/>
      <c r="E174" s="86"/>
      <c r="F174" s="86"/>
      <c r="G174" s="86"/>
      <c r="H174" s="86"/>
      <c r="I174" s="86"/>
      <c r="J174" s="86"/>
      <c r="K174" s="93" t="s">
        <v>107053</v>
      </c>
      <c r="L174" s="88">
        <v>80161500</v>
      </c>
      <c r="M174" s="99" t="s">
        <v>113832</v>
      </c>
      <c r="N174" s="90">
        <v>45709</v>
      </c>
      <c r="O174" s="90" t="s">
        <v>113037</v>
      </c>
      <c r="P174" s="91" t="s">
        <v>113007</v>
      </c>
      <c r="Q174" s="91" t="s">
        <v>113053</v>
      </c>
      <c r="R174" s="92">
        <v>0</v>
      </c>
      <c r="S174" s="430">
        <f>21600000+3600000</f>
        <v>25200000</v>
      </c>
      <c r="T174" s="430">
        <v>0</v>
      </c>
      <c r="U174" s="93" t="s">
        <v>106081</v>
      </c>
      <c r="V174" s="124"/>
      <c r="W174" s="93" t="s">
        <v>113097</v>
      </c>
      <c r="X174" s="548">
        <v>0</v>
      </c>
      <c r="Y174" s="548">
        <v>0</v>
      </c>
      <c r="Z174" s="548">
        <v>0</v>
      </c>
      <c r="AA174" s="548">
        <v>0</v>
      </c>
      <c r="AB174" s="548">
        <v>0</v>
      </c>
      <c r="AC174" s="548">
        <v>0</v>
      </c>
      <c r="AD174" s="548">
        <v>0</v>
      </c>
      <c r="AE174" s="548">
        <v>0</v>
      </c>
      <c r="AF174" s="548">
        <v>0</v>
      </c>
      <c r="AG174" s="548">
        <v>0</v>
      </c>
      <c r="AH174" s="548">
        <v>0</v>
      </c>
      <c r="AI174" s="548">
        <v>0</v>
      </c>
      <c r="AJ174" s="548">
        <v>0</v>
      </c>
    </row>
    <row r="175" spans="2:36" ht="30" x14ac:dyDescent="0.2">
      <c r="B175" s="313" t="s">
        <v>105516</v>
      </c>
      <c r="C175" s="313" t="s">
        <v>105573</v>
      </c>
      <c r="D175" s="313" t="s">
        <v>105573</v>
      </c>
      <c r="E175" s="313" t="s">
        <v>105573</v>
      </c>
      <c r="F175" s="313" t="s">
        <v>105553</v>
      </c>
      <c r="G175" s="313" t="s">
        <v>105550</v>
      </c>
      <c r="H175" s="69"/>
      <c r="I175" s="69"/>
      <c r="J175" s="374"/>
      <c r="K175" s="69"/>
      <c r="L175" s="70"/>
      <c r="M175" s="71" t="s">
        <v>107092</v>
      </c>
      <c r="N175" s="72"/>
      <c r="O175" s="72"/>
      <c r="P175" s="73"/>
      <c r="Q175" s="73"/>
      <c r="R175" s="74">
        <f t="shared" ref="R175:T175" si="160">+R176</f>
        <v>174880000</v>
      </c>
      <c r="S175" s="74">
        <f t="shared" si="160"/>
        <v>167960000</v>
      </c>
      <c r="T175" s="74">
        <f t="shared" si="160"/>
        <v>7000000</v>
      </c>
      <c r="U175" s="75"/>
      <c r="V175" s="75"/>
      <c r="W175" s="69"/>
      <c r="X175" s="74">
        <f t="shared" ref="X175:AI175" si="161">+X176</f>
        <v>0</v>
      </c>
      <c r="Y175" s="74">
        <f t="shared" si="161"/>
        <v>0</v>
      </c>
      <c r="Z175" s="74">
        <f t="shared" si="161"/>
        <v>0</v>
      </c>
      <c r="AA175" s="74">
        <f t="shared" si="161"/>
        <v>0</v>
      </c>
      <c r="AB175" s="74">
        <f t="shared" si="161"/>
        <v>0</v>
      </c>
      <c r="AC175" s="74">
        <f t="shared" si="161"/>
        <v>0</v>
      </c>
      <c r="AD175" s="74">
        <f t="shared" si="161"/>
        <v>0</v>
      </c>
      <c r="AE175" s="74">
        <f t="shared" si="161"/>
        <v>0</v>
      </c>
      <c r="AF175" s="74">
        <f t="shared" si="161"/>
        <v>0</v>
      </c>
      <c r="AG175" s="74">
        <f t="shared" si="161"/>
        <v>0</v>
      </c>
      <c r="AH175" s="74">
        <f t="shared" si="161"/>
        <v>0</v>
      </c>
      <c r="AI175" s="74">
        <f t="shared" si="161"/>
        <v>0</v>
      </c>
      <c r="AJ175" s="548">
        <v>0</v>
      </c>
    </row>
    <row r="176" spans="2:36" ht="42" customHeight="1" x14ac:dyDescent="0.2">
      <c r="B176" s="77" t="s">
        <v>105516</v>
      </c>
      <c r="C176" s="77" t="s">
        <v>105573</v>
      </c>
      <c r="D176" s="77" t="s">
        <v>105573</v>
      </c>
      <c r="E176" s="77" t="s">
        <v>105573</v>
      </c>
      <c r="F176" s="77" t="s">
        <v>105553</v>
      </c>
      <c r="G176" s="77" t="s">
        <v>105550</v>
      </c>
      <c r="H176" s="77" t="s">
        <v>105520</v>
      </c>
      <c r="I176" s="77"/>
      <c r="J176" s="375"/>
      <c r="K176" s="77"/>
      <c r="L176" s="395"/>
      <c r="M176" s="79" t="s">
        <v>107094</v>
      </c>
      <c r="N176" s="80"/>
      <c r="O176" s="80"/>
      <c r="P176" s="81"/>
      <c r="Q176" s="81"/>
      <c r="R176" s="82">
        <f>+R177+R179+R183</f>
        <v>174880000</v>
      </c>
      <c r="S176" s="82">
        <f>+S177+S179+S183</f>
        <v>167960000</v>
      </c>
      <c r="T176" s="82">
        <f>+T177+T179+T183</f>
        <v>7000000</v>
      </c>
      <c r="U176" s="83"/>
      <c r="V176" s="83"/>
      <c r="W176" s="118"/>
      <c r="X176" s="82">
        <f t="shared" ref="X176:AI176" si="162">+X177+X179+X183</f>
        <v>0</v>
      </c>
      <c r="Y176" s="82">
        <f t="shared" si="162"/>
        <v>0</v>
      </c>
      <c r="Z176" s="82">
        <f t="shared" si="162"/>
        <v>0</v>
      </c>
      <c r="AA176" s="82">
        <f t="shared" si="162"/>
        <v>0</v>
      </c>
      <c r="AB176" s="82">
        <f t="shared" si="162"/>
        <v>0</v>
      </c>
      <c r="AC176" s="82">
        <f t="shared" si="162"/>
        <v>0</v>
      </c>
      <c r="AD176" s="82">
        <f t="shared" si="162"/>
        <v>0</v>
      </c>
      <c r="AE176" s="82">
        <f t="shared" si="162"/>
        <v>0</v>
      </c>
      <c r="AF176" s="82">
        <f t="shared" si="162"/>
        <v>0</v>
      </c>
      <c r="AG176" s="82">
        <f t="shared" si="162"/>
        <v>0</v>
      </c>
      <c r="AH176" s="82">
        <f t="shared" si="162"/>
        <v>0</v>
      </c>
      <c r="AI176" s="82">
        <f t="shared" si="162"/>
        <v>0</v>
      </c>
      <c r="AJ176" s="548">
        <v>0</v>
      </c>
    </row>
    <row r="177" spans="2:36" ht="30" x14ac:dyDescent="0.2">
      <c r="B177" s="77" t="s">
        <v>105516</v>
      </c>
      <c r="C177" s="77" t="s">
        <v>105573</v>
      </c>
      <c r="D177" s="77" t="s">
        <v>105573</v>
      </c>
      <c r="E177" s="78" t="s">
        <v>105573</v>
      </c>
      <c r="F177" s="77" t="s">
        <v>105553</v>
      </c>
      <c r="G177" s="77" t="s">
        <v>105550</v>
      </c>
      <c r="H177" s="77" t="s">
        <v>105520</v>
      </c>
      <c r="I177" s="77" t="s">
        <v>106211</v>
      </c>
      <c r="J177" s="375"/>
      <c r="K177" s="77"/>
      <c r="L177" s="395"/>
      <c r="M177" s="79" t="s">
        <v>113230</v>
      </c>
      <c r="N177" s="80"/>
      <c r="O177" s="80"/>
      <c r="P177" s="81"/>
      <c r="Q177" s="81"/>
      <c r="R177" s="82">
        <f t="shared" ref="R177:T177" si="163">+R178</f>
        <v>60000000</v>
      </c>
      <c r="S177" s="82">
        <f t="shared" si="163"/>
        <v>60000000</v>
      </c>
      <c r="T177" s="82">
        <f t="shared" si="163"/>
        <v>0</v>
      </c>
      <c r="U177" s="83"/>
      <c r="V177" s="83"/>
      <c r="W177" s="118"/>
      <c r="X177" s="82">
        <f t="shared" ref="X177:AI177" si="164">+X178</f>
        <v>0</v>
      </c>
      <c r="Y177" s="82">
        <f t="shared" si="164"/>
        <v>0</v>
      </c>
      <c r="Z177" s="82">
        <f t="shared" si="164"/>
        <v>0</v>
      </c>
      <c r="AA177" s="82">
        <f t="shared" si="164"/>
        <v>0</v>
      </c>
      <c r="AB177" s="82">
        <f t="shared" si="164"/>
        <v>0</v>
      </c>
      <c r="AC177" s="82">
        <f t="shared" si="164"/>
        <v>0</v>
      </c>
      <c r="AD177" s="82">
        <f t="shared" si="164"/>
        <v>0</v>
      </c>
      <c r="AE177" s="82">
        <f t="shared" si="164"/>
        <v>0</v>
      </c>
      <c r="AF177" s="82">
        <f t="shared" si="164"/>
        <v>0</v>
      </c>
      <c r="AG177" s="82">
        <f t="shared" si="164"/>
        <v>0</v>
      </c>
      <c r="AH177" s="82">
        <f t="shared" si="164"/>
        <v>0</v>
      </c>
      <c r="AI177" s="82">
        <f t="shared" si="164"/>
        <v>0</v>
      </c>
      <c r="AJ177" s="548">
        <v>0</v>
      </c>
    </row>
    <row r="178" spans="2:36" ht="60" x14ac:dyDescent="0.2">
      <c r="B178" s="85"/>
      <c r="C178" s="86"/>
      <c r="D178" s="86"/>
      <c r="E178" s="86"/>
      <c r="F178" s="86"/>
      <c r="G178" s="86"/>
      <c r="H178" s="86"/>
      <c r="I178" s="86"/>
      <c r="J178" s="86"/>
      <c r="K178" s="93" t="s">
        <v>107091</v>
      </c>
      <c r="L178" s="88" t="s">
        <v>113105</v>
      </c>
      <c r="M178" s="89" t="s">
        <v>113452</v>
      </c>
      <c r="N178" s="90">
        <v>45759</v>
      </c>
      <c r="O178" s="90" t="s">
        <v>113087</v>
      </c>
      <c r="P178" s="91" t="s">
        <v>113028</v>
      </c>
      <c r="Q178" s="91" t="s">
        <v>112999</v>
      </c>
      <c r="R178" s="301">
        <v>60000000</v>
      </c>
      <c r="S178" s="430">
        <v>60000000</v>
      </c>
      <c r="T178" s="430">
        <v>0</v>
      </c>
      <c r="U178" s="93"/>
      <c r="V178" s="94"/>
      <c r="W178" s="93" t="s">
        <v>113003</v>
      </c>
      <c r="X178" s="548"/>
      <c r="Y178" s="548"/>
      <c r="Z178" s="548"/>
      <c r="AA178" s="548"/>
      <c r="AB178" s="548"/>
      <c r="AC178" s="548"/>
      <c r="AD178" s="548"/>
      <c r="AE178" s="548"/>
      <c r="AF178" s="548"/>
      <c r="AG178" s="548"/>
      <c r="AH178" s="548"/>
      <c r="AI178" s="548"/>
      <c r="AJ178" s="548">
        <v>0</v>
      </c>
    </row>
    <row r="179" spans="2:36" ht="30" x14ac:dyDescent="0.2">
      <c r="B179" s="77" t="s">
        <v>105516</v>
      </c>
      <c r="C179" s="77" t="s">
        <v>105573</v>
      </c>
      <c r="D179" s="77" t="s">
        <v>105573</v>
      </c>
      <c r="E179" s="77" t="s">
        <v>105573</v>
      </c>
      <c r="F179" s="77" t="s">
        <v>105553</v>
      </c>
      <c r="G179" s="77" t="s">
        <v>105550</v>
      </c>
      <c r="H179" s="77" t="s">
        <v>105520</v>
      </c>
      <c r="I179" s="77" t="s">
        <v>106214</v>
      </c>
      <c r="J179" s="375"/>
      <c r="K179" s="77"/>
      <c r="L179" s="395"/>
      <c r="M179" s="79" t="s">
        <v>107102</v>
      </c>
      <c r="N179" s="80"/>
      <c r="O179" s="80"/>
      <c r="P179" s="81"/>
      <c r="Q179" s="81"/>
      <c r="R179" s="82">
        <f>SUM(R180:R181)</f>
        <v>73360000</v>
      </c>
      <c r="S179" s="82">
        <f>SUM(S180:S181)</f>
        <v>73360000</v>
      </c>
      <c r="T179" s="82">
        <f>SUM(T180:T181)</f>
        <v>0</v>
      </c>
      <c r="U179" s="83"/>
      <c r="V179" s="83"/>
      <c r="W179" s="118"/>
      <c r="X179" s="82">
        <f t="shared" ref="X179:AI179" si="165">SUM(X180:X181)</f>
        <v>0</v>
      </c>
      <c r="Y179" s="82">
        <f t="shared" si="165"/>
        <v>0</v>
      </c>
      <c r="Z179" s="82">
        <f t="shared" si="165"/>
        <v>0</v>
      </c>
      <c r="AA179" s="82">
        <f t="shared" si="165"/>
        <v>0</v>
      </c>
      <c r="AB179" s="82">
        <f t="shared" si="165"/>
        <v>0</v>
      </c>
      <c r="AC179" s="82">
        <f t="shared" si="165"/>
        <v>0</v>
      </c>
      <c r="AD179" s="82">
        <f t="shared" si="165"/>
        <v>0</v>
      </c>
      <c r="AE179" s="82">
        <f t="shared" si="165"/>
        <v>0</v>
      </c>
      <c r="AF179" s="82">
        <f t="shared" si="165"/>
        <v>0</v>
      </c>
      <c r="AG179" s="82">
        <f t="shared" si="165"/>
        <v>0</v>
      </c>
      <c r="AH179" s="82">
        <f t="shared" si="165"/>
        <v>0</v>
      </c>
      <c r="AI179" s="82">
        <f t="shared" si="165"/>
        <v>0</v>
      </c>
      <c r="AJ179" s="548">
        <v>0</v>
      </c>
    </row>
    <row r="180" spans="2:36" ht="75" customHeight="1" x14ac:dyDescent="0.2">
      <c r="B180" s="85"/>
      <c r="C180" s="86"/>
      <c r="D180" s="86"/>
      <c r="E180" s="86"/>
      <c r="F180" s="86"/>
      <c r="G180" s="86"/>
      <c r="H180" s="86"/>
      <c r="I180" s="86"/>
      <c r="J180" s="86"/>
      <c r="K180" s="93" t="s">
        <v>107091</v>
      </c>
      <c r="L180" s="88" t="s">
        <v>113133</v>
      </c>
      <c r="M180" s="89" t="s">
        <v>113862</v>
      </c>
      <c r="N180" s="90"/>
      <c r="O180" s="90"/>
      <c r="P180" s="91"/>
      <c r="Q180" s="91"/>
      <c r="R180" s="301">
        <v>23360000</v>
      </c>
      <c r="S180" s="430">
        <f>234000000-25000000-21600000-10800000-153240000</f>
        <v>23360000</v>
      </c>
      <c r="T180" s="430">
        <v>0</v>
      </c>
      <c r="U180" s="93"/>
      <c r="V180" s="94"/>
      <c r="W180" s="93" t="s">
        <v>113000</v>
      </c>
      <c r="X180" s="548"/>
      <c r="Y180" s="548"/>
      <c r="Z180" s="548"/>
      <c r="AA180" s="548"/>
      <c r="AB180" s="548"/>
      <c r="AC180" s="548"/>
      <c r="AD180" s="548"/>
      <c r="AE180" s="548"/>
      <c r="AF180" s="548"/>
      <c r="AG180" s="548"/>
      <c r="AH180" s="548"/>
      <c r="AI180" s="548"/>
      <c r="AJ180" s="548">
        <v>0</v>
      </c>
    </row>
    <row r="181" spans="2:36" ht="60" x14ac:dyDescent="0.2">
      <c r="B181" s="85"/>
      <c r="C181" s="86"/>
      <c r="D181" s="86"/>
      <c r="E181" s="86"/>
      <c r="F181" s="86"/>
      <c r="G181" s="86"/>
      <c r="H181" s="86"/>
      <c r="I181" s="86"/>
      <c r="J181" s="86"/>
      <c r="K181" s="93" t="s">
        <v>107091</v>
      </c>
      <c r="L181" s="88" t="s">
        <v>113275</v>
      </c>
      <c r="M181" s="89" t="s">
        <v>113749</v>
      </c>
      <c r="N181" s="90">
        <v>45679</v>
      </c>
      <c r="O181" s="90" t="s">
        <v>113037</v>
      </c>
      <c r="P181" s="91" t="s">
        <v>113011</v>
      </c>
      <c r="Q181" s="91" t="s">
        <v>113096</v>
      </c>
      <c r="R181" s="301">
        <v>50000000</v>
      </c>
      <c r="S181" s="430">
        <v>50000000</v>
      </c>
      <c r="T181" s="430">
        <v>0</v>
      </c>
      <c r="U181" s="93"/>
      <c r="V181" s="94"/>
      <c r="W181" s="93" t="s">
        <v>113035</v>
      </c>
      <c r="X181" s="548"/>
      <c r="Y181" s="548"/>
      <c r="Z181" s="548"/>
      <c r="AA181" s="548"/>
      <c r="AB181" s="548"/>
      <c r="AC181" s="548"/>
      <c r="AD181" s="548"/>
      <c r="AE181" s="548"/>
      <c r="AF181" s="548"/>
      <c r="AG181" s="548"/>
      <c r="AH181" s="548"/>
      <c r="AI181" s="548"/>
      <c r="AJ181" s="548">
        <v>0</v>
      </c>
    </row>
    <row r="182" spans="2:36" ht="75.75" customHeight="1" x14ac:dyDescent="0.2">
      <c r="B182" s="85"/>
      <c r="C182" s="86"/>
      <c r="D182" s="86"/>
      <c r="E182" s="86"/>
      <c r="F182" s="86"/>
      <c r="G182" s="86"/>
      <c r="H182" s="86"/>
      <c r="I182" s="86"/>
      <c r="J182" s="86"/>
      <c r="K182" s="93" t="s">
        <v>107091</v>
      </c>
      <c r="L182" s="88" t="s">
        <v>113133</v>
      </c>
      <c r="M182" s="89" t="s">
        <v>113861</v>
      </c>
      <c r="N182" s="90">
        <v>45838</v>
      </c>
      <c r="O182" s="90" t="s">
        <v>112997</v>
      </c>
      <c r="P182" s="91" t="s">
        <v>113007</v>
      </c>
      <c r="Q182" s="91" t="s">
        <v>113855</v>
      </c>
      <c r="R182" s="92"/>
      <c r="S182" s="430">
        <v>14760000</v>
      </c>
      <c r="T182" s="430"/>
      <c r="U182" s="93"/>
      <c r="V182" s="94"/>
      <c r="W182" s="93" t="s">
        <v>113000</v>
      </c>
      <c r="X182" s="548"/>
      <c r="Y182" s="548"/>
      <c r="Z182" s="548"/>
      <c r="AA182" s="548"/>
      <c r="AB182" s="548"/>
      <c r="AC182" s="548"/>
      <c r="AD182" s="548"/>
      <c r="AE182" s="548"/>
      <c r="AF182" s="548"/>
      <c r="AG182" s="548"/>
      <c r="AH182" s="548"/>
      <c r="AI182" s="548"/>
      <c r="AJ182" s="548"/>
    </row>
    <row r="183" spans="2:36" ht="30" x14ac:dyDescent="0.2">
      <c r="B183" s="77" t="s">
        <v>105516</v>
      </c>
      <c r="C183" s="77" t="s">
        <v>105573</v>
      </c>
      <c r="D183" s="77" t="s">
        <v>105573</v>
      </c>
      <c r="E183" s="77" t="s">
        <v>105573</v>
      </c>
      <c r="F183" s="77" t="s">
        <v>105553</v>
      </c>
      <c r="G183" s="77" t="s">
        <v>105550</v>
      </c>
      <c r="H183" s="77" t="s">
        <v>105520</v>
      </c>
      <c r="I183" s="77" t="s">
        <v>106217</v>
      </c>
      <c r="J183" s="375"/>
      <c r="K183" s="77"/>
      <c r="L183" s="395"/>
      <c r="M183" s="79" t="s">
        <v>107104</v>
      </c>
      <c r="N183" s="80"/>
      <c r="O183" s="80"/>
      <c r="P183" s="81"/>
      <c r="Q183" s="81"/>
      <c r="R183" s="82">
        <f>SUM(R184:R187)</f>
        <v>41520000</v>
      </c>
      <c r="S183" s="82">
        <f>SUM(S184:S187)</f>
        <v>34600000</v>
      </c>
      <c r="T183" s="82">
        <f>SUM(T184:T187)</f>
        <v>7000000</v>
      </c>
      <c r="U183" s="83"/>
      <c r="V183" s="83"/>
      <c r="W183" s="118"/>
      <c r="X183" s="82">
        <f t="shared" ref="X183:AI183" si="166">SUM(X184:X187)</f>
        <v>0</v>
      </c>
      <c r="Y183" s="82">
        <f t="shared" si="166"/>
        <v>0</v>
      </c>
      <c r="Z183" s="82">
        <f t="shared" si="166"/>
        <v>0</v>
      </c>
      <c r="AA183" s="82">
        <f t="shared" si="166"/>
        <v>0</v>
      </c>
      <c r="AB183" s="82">
        <f t="shared" si="166"/>
        <v>0</v>
      </c>
      <c r="AC183" s="82">
        <f t="shared" si="166"/>
        <v>0</v>
      </c>
      <c r="AD183" s="82">
        <f t="shared" si="166"/>
        <v>0</v>
      </c>
      <c r="AE183" s="82">
        <f t="shared" si="166"/>
        <v>0</v>
      </c>
      <c r="AF183" s="82">
        <f t="shared" si="166"/>
        <v>0</v>
      </c>
      <c r="AG183" s="82">
        <f t="shared" si="166"/>
        <v>0</v>
      </c>
      <c r="AH183" s="82">
        <f t="shared" si="166"/>
        <v>0</v>
      </c>
      <c r="AI183" s="82">
        <f t="shared" si="166"/>
        <v>0</v>
      </c>
      <c r="AJ183" s="548">
        <v>0</v>
      </c>
    </row>
    <row r="184" spans="2:36" ht="90" x14ac:dyDescent="0.2">
      <c r="B184" s="85"/>
      <c r="C184" s="86"/>
      <c r="D184" s="86"/>
      <c r="E184" s="86"/>
      <c r="F184" s="86"/>
      <c r="G184" s="86"/>
      <c r="H184" s="86"/>
      <c r="I184" s="86"/>
      <c r="J184" s="86"/>
      <c r="K184" s="93" t="s">
        <v>107091</v>
      </c>
      <c r="L184" s="88">
        <v>72154100</v>
      </c>
      <c r="M184" s="89" t="s">
        <v>113526</v>
      </c>
      <c r="N184" s="90"/>
      <c r="O184" s="90"/>
      <c r="P184" s="91"/>
      <c r="Q184" s="90"/>
      <c r="R184" s="301">
        <v>15520000</v>
      </c>
      <c r="S184" s="430">
        <v>15600000</v>
      </c>
      <c r="T184" s="430">
        <v>0</v>
      </c>
      <c r="U184" s="93" t="s">
        <v>106081</v>
      </c>
      <c r="V184" s="94"/>
      <c r="W184" s="93" t="s">
        <v>113000</v>
      </c>
      <c r="X184" s="548"/>
      <c r="Y184" s="548"/>
      <c r="Z184" s="548"/>
      <c r="AA184" s="548"/>
      <c r="AB184" s="548"/>
      <c r="AC184" s="548"/>
      <c r="AD184" s="548"/>
      <c r="AE184" s="548"/>
      <c r="AF184" s="548"/>
      <c r="AG184" s="548"/>
      <c r="AH184" s="548"/>
      <c r="AI184" s="548"/>
      <c r="AJ184" s="548">
        <v>0</v>
      </c>
    </row>
    <row r="185" spans="2:36" ht="38.25" customHeight="1" x14ac:dyDescent="0.2">
      <c r="B185" s="133"/>
      <c r="C185" s="134"/>
      <c r="D185" s="134"/>
      <c r="E185" s="134"/>
      <c r="F185" s="134"/>
      <c r="G185" s="134"/>
      <c r="H185" s="134"/>
      <c r="I185" s="134"/>
      <c r="J185" s="134"/>
      <c r="K185" s="93" t="s">
        <v>107091</v>
      </c>
      <c r="L185" s="122">
        <v>81141500</v>
      </c>
      <c r="M185" s="116" t="s">
        <v>113825</v>
      </c>
      <c r="N185" s="117">
        <v>45680</v>
      </c>
      <c r="O185" s="90" t="s">
        <v>113001</v>
      </c>
      <c r="P185" s="91" t="s">
        <v>113004</v>
      </c>
      <c r="Q185" s="91" t="s">
        <v>113052</v>
      </c>
      <c r="R185" s="301">
        <v>7000000</v>
      </c>
      <c r="S185" s="435">
        <v>7000000</v>
      </c>
      <c r="T185" s="435">
        <v>0</v>
      </c>
      <c r="U185" s="93"/>
      <c r="V185" s="136"/>
      <c r="W185" s="93" t="s">
        <v>113057</v>
      </c>
      <c r="X185" s="554"/>
      <c r="Y185" s="554"/>
      <c r="Z185" s="554"/>
      <c r="AA185" s="554"/>
      <c r="AB185" s="554"/>
      <c r="AC185" s="554"/>
      <c r="AD185" s="554"/>
      <c r="AE185" s="554"/>
      <c r="AF185" s="554"/>
      <c r="AG185" s="554"/>
      <c r="AH185" s="554"/>
      <c r="AI185" s="554"/>
      <c r="AJ185" s="548">
        <v>0</v>
      </c>
    </row>
    <row r="186" spans="2:36" ht="30" x14ac:dyDescent="0.2">
      <c r="B186" s="133"/>
      <c r="C186" s="134"/>
      <c r="D186" s="134"/>
      <c r="E186" s="134"/>
      <c r="F186" s="134"/>
      <c r="G186" s="134"/>
      <c r="H186" s="134"/>
      <c r="I186" s="134"/>
      <c r="J186" s="134"/>
      <c r="K186" s="93" t="s">
        <v>107091</v>
      </c>
      <c r="L186" s="88">
        <v>76121500</v>
      </c>
      <c r="M186" s="89" t="s">
        <v>113450</v>
      </c>
      <c r="N186" s="90">
        <v>45762</v>
      </c>
      <c r="O186" s="90" t="s">
        <v>113006</v>
      </c>
      <c r="P186" s="91" t="s">
        <v>113079</v>
      </c>
      <c r="Q186" s="91" t="s">
        <v>113052</v>
      </c>
      <c r="R186" s="114">
        <v>7000000</v>
      </c>
      <c r="S186" s="432"/>
      <c r="T186" s="432">
        <v>7000000</v>
      </c>
      <c r="U186" s="128"/>
      <c r="V186" s="131"/>
      <c r="W186" s="93" t="s">
        <v>113054</v>
      </c>
      <c r="X186" s="550"/>
      <c r="Y186" s="550"/>
      <c r="Z186" s="550"/>
      <c r="AA186" s="550"/>
      <c r="AB186" s="550"/>
      <c r="AC186" s="550"/>
      <c r="AD186" s="550"/>
      <c r="AE186" s="550"/>
      <c r="AF186" s="550"/>
      <c r="AG186" s="550"/>
      <c r="AH186" s="550"/>
      <c r="AI186" s="550"/>
      <c r="AJ186" s="548">
        <v>0</v>
      </c>
    </row>
    <row r="187" spans="2:36" ht="27.75" customHeight="1" x14ac:dyDescent="0.2">
      <c r="B187" s="133"/>
      <c r="C187" s="134"/>
      <c r="D187" s="134"/>
      <c r="E187" s="134"/>
      <c r="F187" s="134"/>
      <c r="G187" s="134"/>
      <c r="H187" s="134"/>
      <c r="I187" s="134"/>
      <c r="J187" s="134"/>
      <c r="K187" s="93"/>
      <c r="L187" s="88"/>
      <c r="M187" s="116" t="s">
        <v>113114</v>
      </c>
      <c r="N187" s="117" t="s">
        <v>113031</v>
      </c>
      <c r="O187" s="117" t="s">
        <v>113031</v>
      </c>
      <c r="P187" s="117" t="s">
        <v>113031</v>
      </c>
      <c r="Q187" s="117" t="s">
        <v>113031</v>
      </c>
      <c r="R187" s="92">
        <v>12000000</v>
      </c>
      <c r="S187" s="432">
        <v>12000000</v>
      </c>
      <c r="T187" s="432">
        <v>0</v>
      </c>
      <c r="U187" s="128"/>
      <c r="V187" s="131"/>
      <c r="W187" s="93"/>
      <c r="X187" s="550"/>
      <c r="Y187" s="550"/>
      <c r="Z187" s="550"/>
      <c r="AA187" s="550"/>
      <c r="AB187" s="550"/>
      <c r="AC187" s="550"/>
      <c r="AD187" s="550"/>
      <c r="AE187" s="550"/>
      <c r="AF187" s="550"/>
      <c r="AG187" s="550"/>
      <c r="AH187" s="550"/>
      <c r="AI187" s="550"/>
      <c r="AJ187" s="548">
        <v>0</v>
      </c>
    </row>
    <row r="188" spans="2:36" ht="87.75" customHeight="1" x14ac:dyDescent="0.2">
      <c r="B188" s="133"/>
      <c r="C188" s="134"/>
      <c r="D188" s="134"/>
      <c r="E188" s="134"/>
      <c r="F188" s="134"/>
      <c r="G188" s="134"/>
      <c r="H188" s="134"/>
      <c r="I188" s="134"/>
      <c r="J188" s="134"/>
      <c r="K188" s="93" t="s">
        <v>107091</v>
      </c>
      <c r="L188" s="88">
        <v>72154100</v>
      </c>
      <c r="M188" s="116" t="s">
        <v>113860</v>
      </c>
      <c r="N188" s="117">
        <v>45838</v>
      </c>
      <c r="O188" s="117" t="s">
        <v>112997</v>
      </c>
      <c r="P188" s="117" t="s">
        <v>113856</v>
      </c>
      <c r="Q188" s="117" t="s">
        <v>113855</v>
      </c>
      <c r="R188" s="92"/>
      <c r="S188" s="433">
        <v>9760000</v>
      </c>
      <c r="T188" s="432"/>
      <c r="U188" s="128"/>
      <c r="V188" s="131"/>
      <c r="W188" s="93" t="s">
        <v>113000</v>
      </c>
      <c r="X188" s="550"/>
      <c r="Y188" s="550"/>
      <c r="Z188" s="550"/>
      <c r="AA188" s="550"/>
      <c r="AB188" s="550"/>
      <c r="AC188" s="550"/>
      <c r="AD188" s="550"/>
      <c r="AE188" s="550"/>
      <c r="AF188" s="550"/>
      <c r="AG188" s="550"/>
      <c r="AH188" s="550"/>
      <c r="AI188" s="550"/>
      <c r="AJ188" s="548"/>
    </row>
    <row r="189" spans="2:36" ht="87.75" customHeight="1" x14ac:dyDescent="0.2">
      <c r="B189" s="133"/>
      <c r="C189" s="134"/>
      <c r="D189" s="134"/>
      <c r="E189" s="134"/>
      <c r="F189" s="134"/>
      <c r="G189" s="134"/>
      <c r="H189" s="134"/>
      <c r="I189" s="134"/>
      <c r="J189" s="134"/>
      <c r="K189" s="589" t="s">
        <v>107091</v>
      </c>
      <c r="L189" s="590" t="s">
        <v>113111</v>
      </c>
      <c r="M189" s="591" t="s">
        <v>113112</v>
      </c>
      <c r="N189" s="592">
        <v>45898</v>
      </c>
      <c r="O189" s="592" t="s">
        <v>113078</v>
      </c>
      <c r="P189" s="592" t="s">
        <v>112998</v>
      </c>
      <c r="Q189" s="593" t="s">
        <v>113052</v>
      </c>
      <c r="R189" s="594"/>
      <c r="S189" s="595">
        <v>7910000</v>
      </c>
      <c r="T189" s="432"/>
      <c r="U189" s="128"/>
      <c r="V189" s="131"/>
      <c r="W189" s="93"/>
      <c r="X189" s="550"/>
      <c r="Y189" s="550"/>
      <c r="Z189" s="550"/>
      <c r="AA189" s="550"/>
      <c r="AB189" s="550"/>
      <c r="AC189" s="550"/>
      <c r="AD189" s="550"/>
      <c r="AE189" s="550"/>
      <c r="AF189" s="550"/>
      <c r="AG189" s="550"/>
      <c r="AH189" s="550"/>
      <c r="AI189" s="550"/>
      <c r="AJ189" s="548"/>
    </row>
    <row r="190" spans="2:36" x14ac:dyDescent="0.2">
      <c r="B190" s="60" t="s">
        <v>105516</v>
      </c>
      <c r="C190" s="60" t="s">
        <v>105573</v>
      </c>
      <c r="D190" s="60" t="s">
        <v>105573</v>
      </c>
      <c r="E190" s="60" t="s">
        <v>105573</v>
      </c>
      <c r="F190" s="60" t="s">
        <v>105556</v>
      </c>
      <c r="G190" s="60"/>
      <c r="H190" s="60"/>
      <c r="I190" s="60"/>
      <c r="J190" s="373"/>
      <c r="K190" s="248"/>
      <c r="L190" s="62"/>
      <c r="M190" s="63" t="s">
        <v>107164</v>
      </c>
      <c r="N190" s="64"/>
      <c r="O190" s="64"/>
      <c r="P190" s="65"/>
      <c r="Q190" s="65"/>
      <c r="R190" s="66">
        <f t="shared" ref="R190:T190" si="167">+R191+R195+R198+R202+R205</f>
        <v>496000000</v>
      </c>
      <c r="S190" s="66">
        <f t="shared" si="167"/>
        <v>325000000</v>
      </c>
      <c r="T190" s="66">
        <f t="shared" si="167"/>
        <v>141000000</v>
      </c>
      <c r="U190" s="67"/>
      <c r="V190" s="67"/>
      <c r="W190" s="248"/>
      <c r="X190" s="66">
        <f t="shared" ref="X190:Y190" si="168">+X191+X195+X198+X202+X205</f>
        <v>0</v>
      </c>
      <c r="Y190" s="66">
        <f t="shared" si="168"/>
        <v>0</v>
      </c>
      <c r="Z190" s="66">
        <f t="shared" ref="Z190:AC190" si="169">+Z191+Z195+Z198+Z202+Z205</f>
        <v>0</v>
      </c>
      <c r="AA190" s="66">
        <f t="shared" si="169"/>
        <v>0</v>
      </c>
      <c r="AB190" s="66">
        <f t="shared" si="169"/>
        <v>0</v>
      </c>
      <c r="AC190" s="66">
        <f t="shared" si="169"/>
        <v>0</v>
      </c>
      <c r="AD190" s="66">
        <f t="shared" ref="AD190:AI190" si="170">+AD191+AD195+AD198+AD202+AD205</f>
        <v>0</v>
      </c>
      <c r="AE190" s="66">
        <f t="shared" si="170"/>
        <v>0</v>
      </c>
      <c r="AF190" s="66">
        <f t="shared" si="170"/>
        <v>0</v>
      </c>
      <c r="AG190" s="66">
        <f t="shared" si="170"/>
        <v>0</v>
      </c>
      <c r="AH190" s="66">
        <f t="shared" si="170"/>
        <v>0</v>
      </c>
      <c r="AI190" s="66">
        <f t="shared" si="170"/>
        <v>0</v>
      </c>
      <c r="AJ190" s="548">
        <v>0</v>
      </c>
    </row>
    <row r="191" spans="2:36" x14ac:dyDescent="0.2">
      <c r="B191" s="313" t="s">
        <v>105516</v>
      </c>
      <c r="C191" s="313" t="s">
        <v>105573</v>
      </c>
      <c r="D191" s="313" t="s">
        <v>105573</v>
      </c>
      <c r="E191" s="313" t="s">
        <v>105573</v>
      </c>
      <c r="F191" s="313" t="s">
        <v>105556</v>
      </c>
      <c r="G191" s="313" t="s">
        <v>105535</v>
      </c>
      <c r="H191" s="69"/>
      <c r="I191" s="69"/>
      <c r="J191" s="374"/>
      <c r="K191" s="69"/>
      <c r="L191" s="70"/>
      <c r="M191" s="71" t="s">
        <v>107166</v>
      </c>
      <c r="N191" s="72"/>
      <c r="O191" s="72"/>
      <c r="P191" s="73"/>
      <c r="Q191" s="73"/>
      <c r="R191" s="74">
        <f t="shared" ref="R191:T191" si="171">+R192</f>
        <v>90000000</v>
      </c>
      <c r="S191" s="74">
        <f t="shared" si="171"/>
        <v>90000000</v>
      </c>
      <c r="T191" s="74">
        <f t="shared" si="171"/>
        <v>0</v>
      </c>
      <c r="U191" s="75"/>
      <c r="V191" s="75"/>
      <c r="W191" s="69"/>
      <c r="X191" s="74">
        <f t="shared" ref="X191:AI191" si="172">+X192</f>
        <v>0</v>
      </c>
      <c r="Y191" s="74">
        <f t="shared" si="172"/>
        <v>0</v>
      </c>
      <c r="Z191" s="74">
        <f t="shared" si="172"/>
        <v>0</v>
      </c>
      <c r="AA191" s="74">
        <f t="shared" si="172"/>
        <v>0</v>
      </c>
      <c r="AB191" s="74">
        <f t="shared" si="172"/>
        <v>0</v>
      </c>
      <c r="AC191" s="74">
        <f t="shared" si="172"/>
        <v>0</v>
      </c>
      <c r="AD191" s="74">
        <f t="shared" si="172"/>
        <v>0</v>
      </c>
      <c r="AE191" s="74">
        <f t="shared" si="172"/>
        <v>0</v>
      </c>
      <c r="AF191" s="74">
        <f t="shared" si="172"/>
        <v>0</v>
      </c>
      <c r="AG191" s="74">
        <f t="shared" si="172"/>
        <v>0</v>
      </c>
      <c r="AH191" s="74">
        <f t="shared" si="172"/>
        <v>0</v>
      </c>
      <c r="AI191" s="74">
        <f t="shared" si="172"/>
        <v>0</v>
      </c>
      <c r="AJ191" s="548">
        <v>0</v>
      </c>
    </row>
    <row r="192" spans="2:36" x14ac:dyDescent="0.2">
      <c r="B192" s="77" t="s">
        <v>105516</v>
      </c>
      <c r="C192" s="77" t="s">
        <v>105573</v>
      </c>
      <c r="D192" s="77" t="s">
        <v>105573</v>
      </c>
      <c r="E192" s="77" t="s">
        <v>105573</v>
      </c>
      <c r="F192" s="77" t="s">
        <v>105556</v>
      </c>
      <c r="G192" s="77" t="s">
        <v>105535</v>
      </c>
      <c r="H192" s="77" t="s">
        <v>106109</v>
      </c>
      <c r="I192" s="77"/>
      <c r="J192" s="375"/>
      <c r="K192" s="77"/>
      <c r="L192" s="395"/>
      <c r="M192" s="79" t="s">
        <v>107178</v>
      </c>
      <c r="N192" s="80"/>
      <c r="O192" s="80"/>
      <c r="P192" s="81"/>
      <c r="Q192" s="81"/>
      <c r="R192" s="82">
        <f t="shared" ref="R192:T192" si="173">SUM(R193+R194)</f>
        <v>90000000</v>
      </c>
      <c r="S192" s="82">
        <f t="shared" si="173"/>
        <v>90000000</v>
      </c>
      <c r="T192" s="82">
        <f t="shared" si="173"/>
        <v>0</v>
      </c>
      <c r="U192" s="83"/>
      <c r="V192" s="83"/>
      <c r="W192" s="118"/>
      <c r="X192" s="82">
        <f t="shared" ref="X192:Y192" si="174">SUM(X193+X194)</f>
        <v>0</v>
      </c>
      <c r="Y192" s="82">
        <f t="shared" si="174"/>
        <v>0</v>
      </c>
      <c r="Z192" s="82">
        <f t="shared" ref="Z192:AC192" si="175">SUM(Z193+Z194)</f>
        <v>0</v>
      </c>
      <c r="AA192" s="82">
        <f t="shared" si="175"/>
        <v>0</v>
      </c>
      <c r="AB192" s="82">
        <f t="shared" si="175"/>
        <v>0</v>
      </c>
      <c r="AC192" s="82">
        <f t="shared" si="175"/>
        <v>0</v>
      </c>
      <c r="AD192" s="82">
        <f t="shared" ref="AD192:AI192" si="176">SUM(AD193+AD194)</f>
        <v>0</v>
      </c>
      <c r="AE192" s="82">
        <f t="shared" si="176"/>
        <v>0</v>
      </c>
      <c r="AF192" s="82">
        <f t="shared" si="176"/>
        <v>0</v>
      </c>
      <c r="AG192" s="82">
        <f t="shared" si="176"/>
        <v>0</v>
      </c>
      <c r="AH192" s="82">
        <f t="shared" si="176"/>
        <v>0</v>
      </c>
      <c r="AI192" s="82">
        <f t="shared" si="176"/>
        <v>0</v>
      </c>
      <c r="AJ192" s="548">
        <v>0</v>
      </c>
    </row>
    <row r="193" spans="2:36" ht="45" x14ac:dyDescent="0.2">
      <c r="B193" s="85"/>
      <c r="C193" s="86"/>
      <c r="D193" s="86"/>
      <c r="E193" s="86"/>
      <c r="F193" s="86"/>
      <c r="G193" s="86"/>
      <c r="H193" s="86"/>
      <c r="I193" s="86"/>
      <c r="J193" s="86"/>
      <c r="K193" s="93" t="s">
        <v>107165</v>
      </c>
      <c r="L193" s="88" t="s">
        <v>113115</v>
      </c>
      <c r="M193" s="89" t="s">
        <v>113844</v>
      </c>
      <c r="N193" s="90">
        <v>45713</v>
      </c>
      <c r="O193" s="90" t="s">
        <v>113001</v>
      </c>
      <c r="P193" s="91" t="s">
        <v>113004</v>
      </c>
      <c r="Q193" s="91" t="s">
        <v>113053</v>
      </c>
      <c r="R193" s="92">
        <v>50000000</v>
      </c>
      <c r="S193" s="430">
        <v>50000000</v>
      </c>
      <c r="T193" s="430">
        <v>0</v>
      </c>
      <c r="U193" s="93"/>
      <c r="V193" s="94"/>
      <c r="W193" s="357" t="s">
        <v>113012</v>
      </c>
      <c r="X193" s="548"/>
      <c r="Y193" s="548"/>
      <c r="Z193" s="548"/>
      <c r="AA193" s="548"/>
      <c r="AB193" s="548"/>
      <c r="AC193" s="548"/>
      <c r="AD193" s="548"/>
      <c r="AE193" s="548"/>
      <c r="AF193" s="548"/>
      <c r="AG193" s="548"/>
      <c r="AH193" s="548"/>
      <c r="AI193" s="548"/>
      <c r="AJ193" s="548">
        <v>0</v>
      </c>
    </row>
    <row r="194" spans="2:36" ht="45" x14ac:dyDescent="0.2">
      <c r="B194" s="85"/>
      <c r="C194" s="86"/>
      <c r="D194" s="86"/>
      <c r="E194" s="86"/>
      <c r="F194" s="86"/>
      <c r="G194" s="86"/>
      <c r="H194" s="86"/>
      <c r="I194" s="86"/>
      <c r="J194" s="86"/>
      <c r="K194" s="93" t="s">
        <v>107165</v>
      </c>
      <c r="L194" s="52"/>
      <c r="M194" s="89" t="s">
        <v>113729</v>
      </c>
      <c r="N194" s="90">
        <v>45708</v>
      </c>
      <c r="O194" s="91" t="s">
        <v>113031</v>
      </c>
      <c r="P194" s="91" t="s">
        <v>113031</v>
      </c>
      <c r="Q194" s="91" t="s">
        <v>113031</v>
      </c>
      <c r="R194" s="92">
        <v>40000000</v>
      </c>
      <c r="S194" s="430">
        <v>40000000</v>
      </c>
      <c r="T194" s="430">
        <v>0</v>
      </c>
      <c r="U194" s="93"/>
      <c r="V194" s="94"/>
      <c r="W194" s="357" t="s">
        <v>113012</v>
      </c>
      <c r="X194" s="548"/>
      <c r="Y194" s="548"/>
      <c r="Z194" s="548"/>
      <c r="AA194" s="548"/>
      <c r="AB194" s="548"/>
      <c r="AC194" s="548"/>
      <c r="AD194" s="548"/>
      <c r="AE194" s="548"/>
      <c r="AF194" s="548"/>
      <c r="AG194" s="548"/>
      <c r="AH194" s="548"/>
      <c r="AI194" s="548"/>
      <c r="AJ194" s="548">
        <v>0</v>
      </c>
    </row>
    <row r="195" spans="2:36" ht="30" x14ac:dyDescent="0.2">
      <c r="B195" s="313" t="s">
        <v>105516</v>
      </c>
      <c r="C195" s="313" t="s">
        <v>105573</v>
      </c>
      <c r="D195" s="313" t="s">
        <v>105573</v>
      </c>
      <c r="E195" s="313" t="s">
        <v>105573</v>
      </c>
      <c r="F195" s="313" t="s">
        <v>105556</v>
      </c>
      <c r="G195" s="313" t="s">
        <v>105538</v>
      </c>
      <c r="H195" s="69"/>
      <c r="I195" s="69"/>
      <c r="J195" s="374"/>
      <c r="K195" s="69"/>
      <c r="L195" s="70"/>
      <c r="M195" s="71" t="s">
        <v>107180</v>
      </c>
      <c r="N195" s="72"/>
      <c r="O195" s="72"/>
      <c r="P195" s="73"/>
      <c r="Q195" s="73"/>
      <c r="R195" s="74">
        <f t="shared" ref="R195:T196" si="177">+R196</f>
        <v>30000000</v>
      </c>
      <c r="S195" s="74">
        <f t="shared" si="177"/>
        <v>30000000</v>
      </c>
      <c r="T195" s="74">
        <f t="shared" si="177"/>
        <v>0</v>
      </c>
      <c r="U195" s="75"/>
      <c r="V195" s="75"/>
      <c r="W195" s="69"/>
      <c r="X195" s="74">
        <f t="shared" ref="X195:AI196" si="178">+X196</f>
        <v>0</v>
      </c>
      <c r="Y195" s="74">
        <f t="shared" si="178"/>
        <v>0</v>
      </c>
      <c r="Z195" s="74">
        <f t="shared" si="178"/>
        <v>0</v>
      </c>
      <c r="AA195" s="74">
        <f t="shared" si="178"/>
        <v>0</v>
      </c>
      <c r="AB195" s="74">
        <f t="shared" si="178"/>
        <v>0</v>
      </c>
      <c r="AC195" s="74">
        <f t="shared" si="178"/>
        <v>0</v>
      </c>
      <c r="AD195" s="74">
        <f t="shared" si="178"/>
        <v>0</v>
      </c>
      <c r="AE195" s="74">
        <f t="shared" si="178"/>
        <v>0</v>
      </c>
      <c r="AF195" s="74">
        <f t="shared" si="178"/>
        <v>0</v>
      </c>
      <c r="AG195" s="74">
        <f t="shared" si="178"/>
        <v>0</v>
      </c>
      <c r="AH195" s="74">
        <f t="shared" si="178"/>
        <v>0</v>
      </c>
      <c r="AI195" s="74">
        <f t="shared" si="178"/>
        <v>0</v>
      </c>
      <c r="AJ195" s="548">
        <v>0</v>
      </c>
    </row>
    <row r="196" spans="2:36" x14ac:dyDescent="0.2">
      <c r="B196" s="77" t="s">
        <v>105516</v>
      </c>
      <c r="C196" s="77" t="s">
        <v>105573</v>
      </c>
      <c r="D196" s="77" t="s">
        <v>105573</v>
      </c>
      <c r="E196" s="77" t="s">
        <v>105573</v>
      </c>
      <c r="F196" s="77" t="s">
        <v>105556</v>
      </c>
      <c r="G196" s="77" t="s">
        <v>105538</v>
      </c>
      <c r="H196" s="77" t="s">
        <v>105520</v>
      </c>
      <c r="I196" s="77"/>
      <c r="J196" s="375"/>
      <c r="K196" s="77"/>
      <c r="L196" s="395"/>
      <c r="M196" s="79" t="s">
        <v>107182</v>
      </c>
      <c r="N196" s="80"/>
      <c r="O196" s="80"/>
      <c r="P196" s="81"/>
      <c r="Q196" s="81"/>
      <c r="R196" s="82">
        <f t="shared" si="177"/>
        <v>30000000</v>
      </c>
      <c r="S196" s="82">
        <f t="shared" si="177"/>
        <v>30000000</v>
      </c>
      <c r="T196" s="82">
        <f t="shared" si="177"/>
        <v>0</v>
      </c>
      <c r="U196" s="83"/>
      <c r="V196" s="83"/>
      <c r="W196" s="118"/>
      <c r="X196" s="82">
        <f t="shared" si="178"/>
        <v>0</v>
      </c>
      <c r="Y196" s="82">
        <f t="shared" si="178"/>
        <v>0</v>
      </c>
      <c r="Z196" s="82">
        <f t="shared" si="178"/>
        <v>0</v>
      </c>
      <c r="AA196" s="82">
        <f t="shared" si="178"/>
        <v>0</v>
      </c>
      <c r="AB196" s="82">
        <f t="shared" si="178"/>
        <v>0</v>
      </c>
      <c r="AC196" s="82">
        <f t="shared" si="178"/>
        <v>0</v>
      </c>
      <c r="AD196" s="82">
        <f t="shared" si="178"/>
        <v>0</v>
      </c>
      <c r="AE196" s="82">
        <f t="shared" si="178"/>
        <v>0</v>
      </c>
      <c r="AF196" s="82">
        <f t="shared" si="178"/>
        <v>0</v>
      </c>
      <c r="AG196" s="82">
        <f t="shared" si="178"/>
        <v>0</v>
      </c>
      <c r="AH196" s="82">
        <f t="shared" si="178"/>
        <v>0</v>
      </c>
      <c r="AI196" s="82">
        <f t="shared" si="178"/>
        <v>0</v>
      </c>
      <c r="AJ196" s="548">
        <v>0</v>
      </c>
    </row>
    <row r="197" spans="2:36" ht="210" x14ac:dyDescent="0.2">
      <c r="B197" s="85"/>
      <c r="C197" s="86"/>
      <c r="D197" s="86"/>
      <c r="E197" s="86"/>
      <c r="F197" s="86"/>
      <c r="G197" s="86"/>
      <c r="H197" s="86"/>
      <c r="I197" s="86"/>
      <c r="J197" s="86"/>
      <c r="K197" s="93" t="s">
        <v>107179</v>
      </c>
      <c r="L197" s="88" t="s">
        <v>113279</v>
      </c>
      <c r="M197" s="89" t="s">
        <v>113512</v>
      </c>
      <c r="N197" s="399">
        <v>45685</v>
      </c>
      <c r="O197" s="399" t="s">
        <v>113037</v>
      </c>
      <c r="P197" s="406" t="s">
        <v>113004</v>
      </c>
      <c r="Q197" s="407" t="s">
        <v>113113</v>
      </c>
      <c r="R197" s="408">
        <v>30000000</v>
      </c>
      <c r="S197" s="408">
        <v>30000000</v>
      </c>
      <c r="T197" s="408">
        <v>0</v>
      </c>
      <c r="U197" s="410"/>
      <c r="V197" s="94"/>
      <c r="W197" s="93" t="s">
        <v>113019</v>
      </c>
      <c r="X197" s="549"/>
      <c r="Y197" s="549"/>
      <c r="Z197" s="549"/>
      <c r="AA197" s="549"/>
      <c r="AB197" s="549"/>
      <c r="AC197" s="549"/>
      <c r="AD197" s="549"/>
      <c r="AE197" s="549"/>
      <c r="AF197" s="549"/>
      <c r="AG197" s="549"/>
      <c r="AH197" s="549"/>
      <c r="AI197" s="549"/>
      <c r="AJ197" s="548">
        <v>0</v>
      </c>
    </row>
    <row r="198" spans="2:36" ht="45" x14ac:dyDescent="0.2">
      <c r="B198" s="313" t="s">
        <v>105516</v>
      </c>
      <c r="C198" s="313" t="s">
        <v>105573</v>
      </c>
      <c r="D198" s="313" t="s">
        <v>105573</v>
      </c>
      <c r="E198" s="313" t="s">
        <v>105573</v>
      </c>
      <c r="F198" s="313" t="s">
        <v>105556</v>
      </c>
      <c r="G198" s="313" t="s">
        <v>105541</v>
      </c>
      <c r="H198" s="69"/>
      <c r="I198" s="69"/>
      <c r="J198" s="374"/>
      <c r="K198" s="69"/>
      <c r="L198" s="70"/>
      <c r="M198" s="71" t="s">
        <v>107192</v>
      </c>
      <c r="N198" s="72"/>
      <c r="O198" s="72"/>
      <c r="P198" s="73"/>
      <c r="Q198" s="73"/>
      <c r="R198" s="74">
        <f t="shared" ref="R198:T198" si="179">+R199</f>
        <v>246000000</v>
      </c>
      <c r="S198" s="74">
        <f t="shared" si="179"/>
        <v>165000000</v>
      </c>
      <c r="T198" s="74">
        <f t="shared" si="179"/>
        <v>81000000</v>
      </c>
      <c r="U198" s="75"/>
      <c r="V198" s="75"/>
      <c r="W198" s="69"/>
      <c r="X198" s="74">
        <f t="shared" ref="X198:AI198" si="180">+X199</f>
        <v>0</v>
      </c>
      <c r="Y198" s="74">
        <f t="shared" si="180"/>
        <v>0</v>
      </c>
      <c r="Z198" s="74">
        <f t="shared" si="180"/>
        <v>0</v>
      </c>
      <c r="AA198" s="74">
        <f t="shared" si="180"/>
        <v>0</v>
      </c>
      <c r="AB198" s="74">
        <f t="shared" si="180"/>
        <v>0</v>
      </c>
      <c r="AC198" s="74">
        <f t="shared" si="180"/>
        <v>0</v>
      </c>
      <c r="AD198" s="74">
        <f t="shared" si="180"/>
        <v>0</v>
      </c>
      <c r="AE198" s="74">
        <f t="shared" si="180"/>
        <v>0</v>
      </c>
      <c r="AF198" s="74">
        <f t="shared" si="180"/>
        <v>0</v>
      </c>
      <c r="AG198" s="74">
        <f t="shared" si="180"/>
        <v>0</v>
      </c>
      <c r="AH198" s="74">
        <f t="shared" si="180"/>
        <v>0</v>
      </c>
      <c r="AI198" s="74">
        <f t="shared" si="180"/>
        <v>0</v>
      </c>
      <c r="AJ198" s="548">
        <v>0</v>
      </c>
    </row>
    <row r="199" spans="2:36" ht="30" x14ac:dyDescent="0.2">
      <c r="B199" s="77" t="s">
        <v>105516</v>
      </c>
      <c r="C199" s="77" t="s">
        <v>105573</v>
      </c>
      <c r="D199" s="77" t="s">
        <v>105573</v>
      </c>
      <c r="E199" s="77" t="s">
        <v>105573</v>
      </c>
      <c r="F199" s="77" t="s">
        <v>105556</v>
      </c>
      <c r="G199" s="77" t="s">
        <v>105541</v>
      </c>
      <c r="H199" s="77" t="s">
        <v>105520</v>
      </c>
      <c r="I199" s="77"/>
      <c r="J199" s="375"/>
      <c r="K199" s="77"/>
      <c r="L199" s="395"/>
      <c r="M199" s="79" t="s">
        <v>107194</v>
      </c>
      <c r="N199" s="107"/>
      <c r="O199" s="107"/>
      <c r="P199" s="81"/>
      <c r="Q199" s="81"/>
      <c r="R199" s="109">
        <f t="shared" ref="R199:T199" si="181">SUM(R200+R201)</f>
        <v>246000000</v>
      </c>
      <c r="S199" s="109">
        <f t="shared" si="181"/>
        <v>165000000</v>
      </c>
      <c r="T199" s="109">
        <f t="shared" si="181"/>
        <v>81000000</v>
      </c>
      <c r="U199" s="110"/>
      <c r="V199" s="110"/>
      <c r="W199" s="118"/>
      <c r="X199" s="109">
        <f t="shared" ref="X199:Y199" si="182">SUM(X200+X201)</f>
        <v>0</v>
      </c>
      <c r="Y199" s="109">
        <f t="shared" si="182"/>
        <v>0</v>
      </c>
      <c r="Z199" s="109">
        <f t="shared" ref="Z199:AC199" si="183">SUM(Z200+Z201)</f>
        <v>0</v>
      </c>
      <c r="AA199" s="109">
        <f t="shared" si="183"/>
        <v>0</v>
      </c>
      <c r="AB199" s="109">
        <f t="shared" si="183"/>
        <v>0</v>
      </c>
      <c r="AC199" s="109">
        <f t="shared" si="183"/>
        <v>0</v>
      </c>
      <c r="AD199" s="109">
        <f t="shared" ref="AD199:AI199" si="184">SUM(AD200+AD201)</f>
        <v>0</v>
      </c>
      <c r="AE199" s="109">
        <f t="shared" si="184"/>
        <v>0</v>
      </c>
      <c r="AF199" s="109">
        <f t="shared" si="184"/>
        <v>0</v>
      </c>
      <c r="AG199" s="109">
        <f t="shared" si="184"/>
        <v>0</v>
      </c>
      <c r="AH199" s="109">
        <f t="shared" si="184"/>
        <v>0</v>
      </c>
      <c r="AI199" s="109">
        <f t="shared" si="184"/>
        <v>0</v>
      </c>
      <c r="AJ199" s="548">
        <v>0</v>
      </c>
    </row>
    <row r="200" spans="2:36" x14ac:dyDescent="0.2">
      <c r="B200" s="85"/>
      <c r="C200" s="86"/>
      <c r="D200" s="86"/>
      <c r="E200" s="86"/>
      <c r="F200" s="86"/>
      <c r="G200" s="86"/>
      <c r="H200" s="86"/>
      <c r="I200" s="86"/>
      <c r="J200" s="86"/>
      <c r="K200" s="93" t="s">
        <v>107191</v>
      </c>
      <c r="L200" s="88"/>
      <c r="M200" s="99" t="s">
        <v>113121</v>
      </c>
      <c r="N200" s="90">
        <v>45659</v>
      </c>
      <c r="O200" s="90" t="s">
        <v>113060</v>
      </c>
      <c r="P200" s="91" t="s">
        <v>113068</v>
      </c>
      <c r="Q200" s="91"/>
      <c r="R200" s="92">
        <v>231000000</v>
      </c>
      <c r="S200" s="430">
        <v>150000000</v>
      </c>
      <c r="T200" s="430">
        <v>81000000</v>
      </c>
      <c r="U200" s="93"/>
      <c r="V200" s="124"/>
      <c r="W200" s="93" t="s">
        <v>113064</v>
      </c>
      <c r="X200" s="548"/>
      <c r="Y200" s="548"/>
      <c r="Z200" s="548"/>
      <c r="AA200" s="548"/>
      <c r="AB200" s="548"/>
      <c r="AC200" s="548"/>
      <c r="AD200" s="548"/>
      <c r="AE200" s="548"/>
      <c r="AF200" s="548"/>
      <c r="AG200" s="548"/>
      <c r="AH200" s="548"/>
      <c r="AI200" s="548"/>
      <c r="AJ200" s="548">
        <v>0</v>
      </c>
    </row>
    <row r="201" spans="2:36" ht="99.75" customHeight="1" x14ac:dyDescent="0.2">
      <c r="B201" s="85"/>
      <c r="C201" s="86"/>
      <c r="D201" s="86"/>
      <c r="E201" s="86"/>
      <c r="F201" s="86"/>
      <c r="G201" s="86"/>
      <c r="H201" s="86"/>
      <c r="I201" s="86"/>
      <c r="J201" s="86"/>
      <c r="K201" s="93" t="s">
        <v>107191</v>
      </c>
      <c r="L201" s="88" t="s">
        <v>113119</v>
      </c>
      <c r="M201" s="99" t="s">
        <v>113846</v>
      </c>
      <c r="N201" s="90">
        <v>45716</v>
      </c>
      <c r="O201" s="90" t="s">
        <v>113001</v>
      </c>
      <c r="P201" s="91" t="s">
        <v>113004</v>
      </c>
      <c r="Q201" s="91" t="s">
        <v>113052</v>
      </c>
      <c r="R201" s="114">
        <v>15000000</v>
      </c>
      <c r="S201" s="430">
        <v>15000000</v>
      </c>
      <c r="T201" s="430">
        <v>0</v>
      </c>
      <c r="U201" s="93" t="s">
        <v>106081</v>
      </c>
      <c r="V201" s="124"/>
      <c r="W201" s="93" t="s">
        <v>113000</v>
      </c>
      <c r="X201" s="548"/>
      <c r="Y201" s="548"/>
      <c r="Z201" s="548"/>
      <c r="AA201" s="548"/>
      <c r="AB201" s="548"/>
      <c r="AC201" s="548"/>
      <c r="AD201" s="548"/>
      <c r="AE201" s="548"/>
      <c r="AF201" s="548"/>
      <c r="AG201" s="548"/>
      <c r="AH201" s="548"/>
      <c r="AI201" s="548"/>
      <c r="AJ201" s="548">
        <v>0</v>
      </c>
    </row>
    <row r="202" spans="2:36" x14ac:dyDescent="0.2">
      <c r="B202" s="313" t="s">
        <v>105516</v>
      </c>
      <c r="C202" s="313" t="s">
        <v>105573</v>
      </c>
      <c r="D202" s="313" t="s">
        <v>105573</v>
      </c>
      <c r="E202" s="313" t="s">
        <v>105573</v>
      </c>
      <c r="F202" s="313" t="s">
        <v>105556</v>
      </c>
      <c r="G202" s="313" t="s">
        <v>105547</v>
      </c>
      <c r="H202" s="69"/>
      <c r="I202" s="69"/>
      <c r="J202" s="374"/>
      <c r="K202" s="69"/>
      <c r="L202" s="70"/>
      <c r="M202" s="71" t="s">
        <v>113231</v>
      </c>
      <c r="N202" s="72"/>
      <c r="O202" s="72"/>
      <c r="P202" s="73"/>
      <c r="Q202" s="73"/>
      <c r="R202" s="74">
        <f t="shared" ref="R202:T203" si="185">+R203</f>
        <v>50000000</v>
      </c>
      <c r="S202" s="74">
        <f t="shared" si="185"/>
        <v>0</v>
      </c>
      <c r="T202" s="74">
        <f t="shared" si="185"/>
        <v>20000000</v>
      </c>
      <c r="U202" s="75"/>
      <c r="V202" s="75"/>
      <c r="W202" s="69"/>
      <c r="X202" s="74">
        <f t="shared" ref="X202:AI203" si="186">+X203</f>
        <v>0</v>
      </c>
      <c r="Y202" s="74">
        <f t="shared" si="186"/>
        <v>0</v>
      </c>
      <c r="Z202" s="74">
        <f t="shared" si="186"/>
        <v>0</v>
      </c>
      <c r="AA202" s="74">
        <f t="shared" si="186"/>
        <v>0</v>
      </c>
      <c r="AB202" s="74">
        <f t="shared" si="186"/>
        <v>0</v>
      </c>
      <c r="AC202" s="74">
        <f t="shared" si="186"/>
        <v>0</v>
      </c>
      <c r="AD202" s="74">
        <f t="shared" si="186"/>
        <v>0</v>
      </c>
      <c r="AE202" s="74">
        <f t="shared" si="186"/>
        <v>0</v>
      </c>
      <c r="AF202" s="74">
        <f t="shared" si="186"/>
        <v>0</v>
      </c>
      <c r="AG202" s="74">
        <f t="shared" si="186"/>
        <v>0</v>
      </c>
      <c r="AH202" s="74">
        <f t="shared" si="186"/>
        <v>0</v>
      </c>
      <c r="AI202" s="74">
        <f t="shared" si="186"/>
        <v>0</v>
      </c>
      <c r="AJ202" s="548">
        <v>0</v>
      </c>
    </row>
    <row r="203" spans="2:36" x14ac:dyDescent="0.2">
      <c r="B203" s="77" t="s">
        <v>105516</v>
      </c>
      <c r="C203" s="77" t="s">
        <v>105573</v>
      </c>
      <c r="D203" s="77" t="s">
        <v>105573</v>
      </c>
      <c r="E203" s="77" t="s">
        <v>105573</v>
      </c>
      <c r="F203" s="77" t="s">
        <v>105556</v>
      </c>
      <c r="G203" s="77" t="s">
        <v>105547</v>
      </c>
      <c r="H203" s="77" t="s">
        <v>106109</v>
      </c>
      <c r="I203" s="77"/>
      <c r="J203" s="375"/>
      <c r="K203" s="77"/>
      <c r="L203" s="395"/>
      <c r="M203" s="79" t="s">
        <v>107228</v>
      </c>
      <c r="N203" s="80"/>
      <c r="O203" s="80"/>
      <c r="P203" s="81"/>
      <c r="Q203" s="81"/>
      <c r="R203" s="82">
        <f t="shared" si="185"/>
        <v>50000000</v>
      </c>
      <c r="S203" s="82">
        <f t="shared" si="185"/>
        <v>0</v>
      </c>
      <c r="T203" s="82">
        <f t="shared" si="185"/>
        <v>20000000</v>
      </c>
      <c r="U203" s="83"/>
      <c r="V203" s="83"/>
      <c r="W203" s="118"/>
      <c r="X203" s="82">
        <f t="shared" si="186"/>
        <v>0</v>
      </c>
      <c r="Y203" s="82">
        <f t="shared" si="186"/>
        <v>0</v>
      </c>
      <c r="Z203" s="82">
        <f t="shared" si="186"/>
        <v>0</v>
      </c>
      <c r="AA203" s="82">
        <f t="shared" si="186"/>
        <v>0</v>
      </c>
      <c r="AB203" s="82">
        <f t="shared" si="186"/>
        <v>0</v>
      </c>
      <c r="AC203" s="82">
        <f t="shared" si="186"/>
        <v>0</v>
      </c>
      <c r="AD203" s="82">
        <f t="shared" si="186"/>
        <v>0</v>
      </c>
      <c r="AE203" s="82">
        <f t="shared" si="186"/>
        <v>0</v>
      </c>
      <c r="AF203" s="82">
        <f t="shared" si="186"/>
        <v>0</v>
      </c>
      <c r="AG203" s="82">
        <f t="shared" si="186"/>
        <v>0</v>
      </c>
      <c r="AH203" s="82">
        <f t="shared" si="186"/>
        <v>0</v>
      </c>
      <c r="AI203" s="82">
        <f t="shared" si="186"/>
        <v>0</v>
      </c>
      <c r="AJ203" s="548">
        <v>0</v>
      </c>
    </row>
    <row r="204" spans="2:36" ht="87" customHeight="1" x14ac:dyDescent="0.2">
      <c r="B204" s="85"/>
      <c r="C204" s="86"/>
      <c r="D204" s="86"/>
      <c r="E204" s="86"/>
      <c r="F204" s="86"/>
      <c r="G204" s="86"/>
      <c r="H204" s="86"/>
      <c r="I204" s="86"/>
      <c r="J204" s="86"/>
      <c r="K204" s="93" t="s">
        <v>107213</v>
      </c>
      <c r="L204" s="52">
        <v>93141500</v>
      </c>
      <c r="M204" s="89" t="s">
        <v>113381</v>
      </c>
      <c r="N204" s="90">
        <v>45868</v>
      </c>
      <c r="O204" s="90" t="s">
        <v>113010</v>
      </c>
      <c r="P204" s="91" t="s">
        <v>113007</v>
      </c>
      <c r="Q204" s="91" t="s">
        <v>113095</v>
      </c>
      <c r="R204" s="96">
        <v>50000000</v>
      </c>
      <c r="S204" s="430">
        <v>0</v>
      </c>
      <c r="T204" s="430">
        <v>20000000</v>
      </c>
      <c r="U204" s="93"/>
      <c r="V204" s="94"/>
      <c r="W204" s="357" t="s">
        <v>113012</v>
      </c>
      <c r="X204" s="548"/>
      <c r="Y204" s="548"/>
      <c r="Z204" s="548"/>
      <c r="AA204" s="548"/>
      <c r="AB204" s="548"/>
      <c r="AC204" s="548"/>
      <c r="AD204" s="548"/>
      <c r="AE204" s="548"/>
      <c r="AF204" s="548"/>
      <c r="AG204" s="548"/>
      <c r="AH204" s="548"/>
      <c r="AI204" s="548"/>
      <c r="AJ204" s="548">
        <v>0</v>
      </c>
    </row>
    <row r="205" spans="2:36" x14ac:dyDescent="0.2">
      <c r="B205" s="313" t="s">
        <v>105516</v>
      </c>
      <c r="C205" s="313" t="s">
        <v>105573</v>
      </c>
      <c r="D205" s="313" t="s">
        <v>105573</v>
      </c>
      <c r="E205" s="313" t="s">
        <v>105573</v>
      </c>
      <c r="F205" s="313" t="s">
        <v>105559</v>
      </c>
      <c r="G205" s="69"/>
      <c r="H205" s="69"/>
      <c r="I205" s="69"/>
      <c r="J205" s="374"/>
      <c r="K205" s="69"/>
      <c r="L205" s="70"/>
      <c r="M205" s="71" t="s">
        <v>105564</v>
      </c>
      <c r="N205" s="72"/>
      <c r="O205" s="72"/>
      <c r="P205" s="73"/>
      <c r="Q205" s="73"/>
      <c r="R205" s="74">
        <f t="shared" ref="R205:T205" si="187">+R206</f>
        <v>80000000</v>
      </c>
      <c r="S205" s="74">
        <f t="shared" si="187"/>
        <v>40000000</v>
      </c>
      <c r="T205" s="74">
        <f t="shared" si="187"/>
        <v>40000000</v>
      </c>
      <c r="U205" s="75"/>
      <c r="V205" s="75"/>
      <c r="W205" s="69"/>
      <c r="X205" s="74">
        <f t="shared" ref="X205:AI205" si="188">+X206</f>
        <v>0</v>
      </c>
      <c r="Y205" s="74">
        <f t="shared" si="188"/>
        <v>0</v>
      </c>
      <c r="Z205" s="74">
        <f t="shared" si="188"/>
        <v>0</v>
      </c>
      <c r="AA205" s="74">
        <f t="shared" si="188"/>
        <v>0</v>
      </c>
      <c r="AB205" s="74">
        <f t="shared" si="188"/>
        <v>0</v>
      </c>
      <c r="AC205" s="74">
        <f t="shared" si="188"/>
        <v>0</v>
      </c>
      <c r="AD205" s="74">
        <f t="shared" si="188"/>
        <v>0</v>
      </c>
      <c r="AE205" s="74">
        <f t="shared" si="188"/>
        <v>0</v>
      </c>
      <c r="AF205" s="74">
        <f t="shared" si="188"/>
        <v>0</v>
      </c>
      <c r="AG205" s="74">
        <f t="shared" si="188"/>
        <v>0</v>
      </c>
      <c r="AH205" s="74">
        <f t="shared" si="188"/>
        <v>0</v>
      </c>
      <c r="AI205" s="74">
        <f t="shared" si="188"/>
        <v>0</v>
      </c>
      <c r="AJ205" s="548">
        <v>0</v>
      </c>
    </row>
    <row r="206" spans="2:36" ht="18.75" customHeight="1" x14ac:dyDescent="0.2">
      <c r="B206" s="85"/>
      <c r="C206" s="86"/>
      <c r="D206" s="86"/>
      <c r="E206" s="86"/>
      <c r="F206" s="86"/>
      <c r="G206" s="86"/>
      <c r="H206" s="86"/>
      <c r="I206" s="86"/>
      <c r="J206" s="86"/>
      <c r="K206" s="93" t="s">
        <v>107241</v>
      </c>
      <c r="L206" s="52"/>
      <c r="M206" s="99" t="s">
        <v>105564</v>
      </c>
      <c r="N206" s="90" t="s">
        <v>113031</v>
      </c>
      <c r="O206" s="90" t="s">
        <v>113031</v>
      </c>
      <c r="P206" s="91" t="s">
        <v>113031</v>
      </c>
      <c r="Q206" s="91" t="s">
        <v>113031</v>
      </c>
      <c r="R206" s="92">
        <v>80000000</v>
      </c>
      <c r="S206" s="430">
        <v>40000000</v>
      </c>
      <c r="T206" s="520">
        <v>40000000</v>
      </c>
      <c r="U206" s="93"/>
      <c r="V206" s="94"/>
      <c r="W206" s="357" t="s">
        <v>113012</v>
      </c>
      <c r="X206" s="548"/>
      <c r="Y206" s="548"/>
      <c r="Z206" s="548"/>
      <c r="AA206" s="548"/>
      <c r="AB206" s="548"/>
      <c r="AC206" s="548"/>
      <c r="AD206" s="548"/>
      <c r="AE206" s="548"/>
      <c r="AF206" s="548"/>
      <c r="AG206" s="548"/>
      <c r="AH206" s="548"/>
      <c r="AI206" s="548"/>
      <c r="AJ206" s="548">
        <v>0</v>
      </c>
    </row>
    <row r="207" spans="2:36" ht="15.75" x14ac:dyDescent="0.2">
      <c r="B207" s="140" t="s">
        <v>105516</v>
      </c>
      <c r="C207" s="140" t="s">
        <v>105924</v>
      </c>
      <c r="D207" s="140"/>
      <c r="E207" s="140"/>
      <c r="F207" s="140"/>
      <c r="G207" s="140"/>
      <c r="H207" s="140"/>
      <c r="I207" s="140"/>
      <c r="J207" s="378"/>
      <c r="K207" s="140"/>
      <c r="L207" s="141"/>
      <c r="M207" s="142" t="s">
        <v>112080</v>
      </c>
      <c r="N207" s="143"/>
      <c r="O207" s="143"/>
      <c r="P207" s="144"/>
      <c r="Q207" s="144"/>
      <c r="R207" s="145">
        <f>+R208</f>
        <v>16363200000</v>
      </c>
      <c r="S207" s="145">
        <f t="shared" ref="S207" si="189">+S208</f>
        <v>16414000000</v>
      </c>
      <c r="T207" s="145">
        <f>+T208</f>
        <v>658955545.46000004</v>
      </c>
      <c r="U207" s="146"/>
      <c r="V207" s="146"/>
      <c r="W207" s="360"/>
      <c r="X207" s="145">
        <f t="shared" ref="X207:AI207" si="190">+X208</f>
        <v>0</v>
      </c>
      <c r="Y207" s="145">
        <f t="shared" si="190"/>
        <v>0</v>
      </c>
      <c r="Z207" s="145">
        <f t="shared" si="190"/>
        <v>0</v>
      </c>
      <c r="AA207" s="145">
        <f t="shared" si="190"/>
        <v>0</v>
      </c>
      <c r="AB207" s="145">
        <f t="shared" si="190"/>
        <v>0</v>
      </c>
      <c r="AC207" s="145">
        <f t="shared" si="190"/>
        <v>0</v>
      </c>
      <c r="AD207" s="145">
        <f t="shared" si="190"/>
        <v>0</v>
      </c>
      <c r="AE207" s="145">
        <f t="shared" si="190"/>
        <v>0</v>
      </c>
      <c r="AF207" s="145">
        <f t="shared" si="190"/>
        <v>0</v>
      </c>
      <c r="AG207" s="145">
        <f t="shared" si="190"/>
        <v>0</v>
      </c>
      <c r="AH207" s="145">
        <f t="shared" si="190"/>
        <v>0</v>
      </c>
      <c r="AI207" s="145">
        <f t="shared" si="190"/>
        <v>0</v>
      </c>
      <c r="AJ207" s="145">
        <f t="shared" ref="AJ207:AJ209" si="191">SUM(X207:AI207)-S207</f>
        <v>-16414000000</v>
      </c>
    </row>
    <row r="208" spans="2:36" ht="15.75" x14ac:dyDescent="0.2">
      <c r="B208" s="148" t="s">
        <v>105516</v>
      </c>
      <c r="C208" s="148" t="s">
        <v>105924</v>
      </c>
      <c r="D208" s="148" t="s">
        <v>105520</v>
      </c>
      <c r="E208" s="148"/>
      <c r="F208" s="148"/>
      <c r="G208" s="148"/>
      <c r="H208" s="148"/>
      <c r="I208" s="148"/>
      <c r="J208" s="379"/>
      <c r="K208" s="361"/>
      <c r="L208" s="150"/>
      <c r="M208" s="151" t="s">
        <v>112080</v>
      </c>
      <c r="N208" s="152"/>
      <c r="O208" s="152"/>
      <c r="P208" s="153"/>
      <c r="Q208" s="153"/>
      <c r="R208" s="154">
        <f>+R209+R239</f>
        <v>16363200000</v>
      </c>
      <c r="S208" s="154">
        <f t="shared" ref="S208" si="192">+S209+S239</f>
        <v>16414000000</v>
      </c>
      <c r="T208" s="154">
        <f>+T209+T239</f>
        <v>658955545.46000004</v>
      </c>
      <c r="U208" s="155"/>
      <c r="V208" s="155"/>
      <c r="W208" s="361"/>
      <c r="X208" s="154">
        <f t="shared" ref="X208:Y208" si="193">+X209+X239</f>
        <v>0</v>
      </c>
      <c r="Y208" s="154">
        <f t="shared" si="193"/>
        <v>0</v>
      </c>
      <c r="Z208" s="154">
        <f t="shared" ref="Z208:AC208" si="194">+Z209+Z239</f>
        <v>0</v>
      </c>
      <c r="AA208" s="154">
        <f t="shared" si="194"/>
        <v>0</v>
      </c>
      <c r="AB208" s="154">
        <f t="shared" si="194"/>
        <v>0</v>
      </c>
      <c r="AC208" s="154">
        <f t="shared" si="194"/>
        <v>0</v>
      </c>
      <c r="AD208" s="154">
        <f t="shared" ref="AD208:AI208" si="195">+AD209+AD239</f>
        <v>0</v>
      </c>
      <c r="AE208" s="154">
        <f t="shared" si="195"/>
        <v>0</v>
      </c>
      <c r="AF208" s="154">
        <f t="shared" si="195"/>
        <v>0</v>
      </c>
      <c r="AG208" s="154">
        <f t="shared" si="195"/>
        <v>0</v>
      </c>
      <c r="AH208" s="154">
        <f t="shared" si="195"/>
        <v>0</v>
      </c>
      <c r="AI208" s="154">
        <f t="shared" si="195"/>
        <v>0</v>
      </c>
      <c r="AJ208" s="154">
        <f t="shared" si="191"/>
        <v>-16414000000</v>
      </c>
    </row>
    <row r="209" spans="2:36" ht="15.75" x14ac:dyDescent="0.2">
      <c r="B209" s="157" t="s">
        <v>105516</v>
      </c>
      <c r="C209" s="157" t="s">
        <v>105924</v>
      </c>
      <c r="D209" s="157" t="s">
        <v>105520</v>
      </c>
      <c r="E209" s="157" t="s">
        <v>105520</v>
      </c>
      <c r="F209" s="157"/>
      <c r="G209" s="157"/>
      <c r="H209" s="157"/>
      <c r="I209" s="157"/>
      <c r="J209" s="380"/>
      <c r="K209" s="157"/>
      <c r="L209" s="158"/>
      <c r="M209" s="159" t="s">
        <v>106437</v>
      </c>
      <c r="N209" s="160"/>
      <c r="O209" s="160"/>
      <c r="P209" s="161"/>
      <c r="Q209" s="161"/>
      <c r="R209" s="162">
        <f>+R210+R230</f>
        <v>670000000</v>
      </c>
      <c r="S209" s="162">
        <f>+S210+S230</f>
        <v>854900000</v>
      </c>
      <c r="T209" s="162">
        <f>+T210+T230</f>
        <v>0</v>
      </c>
      <c r="U209" s="163"/>
      <c r="V209" s="163"/>
      <c r="W209" s="362"/>
      <c r="X209" s="162">
        <f t="shared" ref="X209:Y209" si="196">+X210+X230</f>
        <v>0</v>
      </c>
      <c r="Y209" s="162">
        <f t="shared" si="196"/>
        <v>0</v>
      </c>
      <c r="Z209" s="162">
        <f t="shared" ref="Z209:AC209" si="197">+Z210+Z230</f>
        <v>0</v>
      </c>
      <c r="AA209" s="162">
        <f t="shared" si="197"/>
        <v>0</v>
      </c>
      <c r="AB209" s="162">
        <f t="shared" si="197"/>
        <v>0</v>
      </c>
      <c r="AC209" s="162">
        <f t="shared" si="197"/>
        <v>0</v>
      </c>
      <c r="AD209" s="162">
        <f t="shared" ref="AD209:AI209" si="198">+AD210+AD230</f>
        <v>0</v>
      </c>
      <c r="AE209" s="162">
        <f t="shared" si="198"/>
        <v>0</v>
      </c>
      <c r="AF209" s="162">
        <f t="shared" si="198"/>
        <v>0</v>
      </c>
      <c r="AG209" s="162">
        <f t="shared" si="198"/>
        <v>0</v>
      </c>
      <c r="AH209" s="162">
        <f t="shared" si="198"/>
        <v>0</v>
      </c>
      <c r="AI209" s="162">
        <f t="shared" si="198"/>
        <v>0</v>
      </c>
      <c r="AJ209" s="162">
        <f t="shared" si="191"/>
        <v>-854900000</v>
      </c>
    </row>
    <row r="210" spans="2:36" ht="30" x14ac:dyDescent="0.2">
      <c r="B210" s="60" t="s">
        <v>105516</v>
      </c>
      <c r="C210" s="60" t="s">
        <v>105924</v>
      </c>
      <c r="D210" s="60" t="s">
        <v>105520</v>
      </c>
      <c r="E210" s="60" t="s">
        <v>105520</v>
      </c>
      <c r="F210" s="60" t="s">
        <v>105538</v>
      </c>
      <c r="G210" s="60"/>
      <c r="H210" s="60"/>
      <c r="I210" s="60"/>
      <c r="J210" s="373"/>
      <c r="K210" s="248"/>
      <c r="L210" s="62"/>
      <c r="M210" s="63" t="s">
        <v>106589</v>
      </c>
      <c r="N210" s="64"/>
      <c r="O210" s="64"/>
      <c r="P210" s="65"/>
      <c r="Q210" s="65"/>
      <c r="R210" s="66">
        <f>+R211+R214+R217+R221+R227</f>
        <v>600000000</v>
      </c>
      <c r="S210" s="66">
        <f>+S211+S214+S217+S221+S227</f>
        <v>646044419</v>
      </c>
      <c r="T210" s="66">
        <f>+T211+T214+T217+T221+T227</f>
        <v>0</v>
      </c>
      <c r="U210" s="67"/>
      <c r="V210" s="67"/>
      <c r="W210" s="248"/>
      <c r="X210" s="66">
        <f t="shared" ref="X210:Y210" si="199">+X211+X214+X217+X221+X227</f>
        <v>0</v>
      </c>
      <c r="Y210" s="66">
        <f t="shared" si="199"/>
        <v>0</v>
      </c>
      <c r="Z210" s="66">
        <f t="shared" ref="Z210:AC210" si="200">+Z211+Z214+Z217+Z221+Z227</f>
        <v>0</v>
      </c>
      <c r="AA210" s="66">
        <f t="shared" si="200"/>
        <v>0</v>
      </c>
      <c r="AB210" s="66">
        <f t="shared" si="200"/>
        <v>0</v>
      </c>
      <c r="AC210" s="66">
        <f t="shared" si="200"/>
        <v>0</v>
      </c>
      <c r="AD210" s="66">
        <f t="shared" ref="AD210:AI210" si="201">+AD211+AD214+AD217+AD221+AD227</f>
        <v>0</v>
      </c>
      <c r="AE210" s="66">
        <f t="shared" si="201"/>
        <v>0</v>
      </c>
      <c r="AF210" s="66">
        <f t="shared" si="201"/>
        <v>0</v>
      </c>
      <c r="AG210" s="66">
        <f t="shared" si="201"/>
        <v>0</v>
      </c>
      <c r="AH210" s="66">
        <f t="shared" si="201"/>
        <v>0</v>
      </c>
      <c r="AI210" s="66">
        <f t="shared" si="201"/>
        <v>0</v>
      </c>
      <c r="AJ210" s="548">
        <v>0</v>
      </c>
    </row>
    <row r="211" spans="2:36" ht="30" x14ac:dyDescent="0.2">
      <c r="B211" s="313" t="s">
        <v>105516</v>
      </c>
      <c r="C211" s="313" t="s">
        <v>105924</v>
      </c>
      <c r="D211" s="313" t="s">
        <v>105520</v>
      </c>
      <c r="E211" s="313" t="s">
        <v>105520</v>
      </c>
      <c r="F211" s="313" t="s">
        <v>105538</v>
      </c>
      <c r="G211" s="313" t="s">
        <v>105535</v>
      </c>
      <c r="H211" s="165"/>
      <c r="I211" s="165"/>
      <c r="J211" s="381"/>
      <c r="K211" s="165"/>
      <c r="L211" s="166"/>
      <c r="M211" s="167" t="s">
        <v>113232</v>
      </c>
      <c r="N211" s="168"/>
      <c r="O211" s="168"/>
      <c r="P211" s="169"/>
      <c r="Q211" s="169"/>
      <c r="R211" s="170">
        <f t="shared" ref="R211:S212" si="202">+R212</f>
        <v>15000000</v>
      </c>
      <c r="S211" s="170">
        <f t="shared" si="202"/>
        <v>15000000</v>
      </c>
      <c r="T211" s="170">
        <f>+T212</f>
        <v>0</v>
      </c>
      <c r="U211" s="171"/>
      <c r="V211" s="171"/>
      <c r="W211" s="165"/>
      <c r="X211" s="170">
        <f t="shared" ref="X211:AI212" si="203">+X212</f>
        <v>0</v>
      </c>
      <c r="Y211" s="170">
        <f t="shared" si="203"/>
        <v>0</v>
      </c>
      <c r="Z211" s="170">
        <f t="shared" si="203"/>
        <v>0</v>
      </c>
      <c r="AA211" s="170">
        <f t="shared" si="203"/>
        <v>0</v>
      </c>
      <c r="AB211" s="170">
        <f t="shared" si="203"/>
        <v>0</v>
      </c>
      <c r="AC211" s="170">
        <f t="shared" si="203"/>
        <v>0</v>
      </c>
      <c r="AD211" s="170">
        <f t="shared" si="203"/>
        <v>0</v>
      </c>
      <c r="AE211" s="170">
        <f t="shared" si="203"/>
        <v>0</v>
      </c>
      <c r="AF211" s="170">
        <f t="shared" si="203"/>
        <v>0</v>
      </c>
      <c r="AG211" s="170">
        <f t="shared" si="203"/>
        <v>0</v>
      </c>
      <c r="AH211" s="170">
        <f t="shared" si="203"/>
        <v>0</v>
      </c>
      <c r="AI211" s="170">
        <f t="shared" si="203"/>
        <v>0</v>
      </c>
      <c r="AJ211" s="548">
        <v>0</v>
      </c>
    </row>
    <row r="212" spans="2:36" x14ac:dyDescent="0.2">
      <c r="B212" s="77" t="s">
        <v>105516</v>
      </c>
      <c r="C212" s="77" t="s">
        <v>105924</v>
      </c>
      <c r="D212" s="77" t="s">
        <v>105520</v>
      </c>
      <c r="E212" s="77" t="s">
        <v>105520</v>
      </c>
      <c r="F212" s="78" t="s">
        <v>105538</v>
      </c>
      <c r="G212" s="78" t="s">
        <v>105535</v>
      </c>
      <c r="H212" s="78" t="s">
        <v>105520</v>
      </c>
      <c r="I212" s="77"/>
      <c r="J212" s="375"/>
      <c r="K212" s="77"/>
      <c r="L212" s="395"/>
      <c r="M212" s="79" t="s">
        <v>106595</v>
      </c>
      <c r="N212" s="80"/>
      <c r="O212" s="80"/>
      <c r="P212" s="81"/>
      <c r="Q212" s="81"/>
      <c r="R212" s="82">
        <f t="shared" si="202"/>
        <v>15000000</v>
      </c>
      <c r="S212" s="82">
        <f>+S213</f>
        <v>15000000</v>
      </c>
      <c r="T212" s="82">
        <f>+T213</f>
        <v>0</v>
      </c>
      <c r="U212" s="83"/>
      <c r="V212" s="83"/>
      <c r="W212" s="118"/>
      <c r="X212" s="82">
        <f t="shared" si="203"/>
        <v>0</v>
      </c>
      <c r="Y212" s="82">
        <f t="shared" si="203"/>
        <v>0</v>
      </c>
      <c r="Z212" s="82">
        <f t="shared" si="203"/>
        <v>0</v>
      </c>
      <c r="AA212" s="82">
        <f t="shared" si="203"/>
        <v>0</v>
      </c>
      <c r="AB212" s="82">
        <f t="shared" si="203"/>
        <v>0</v>
      </c>
      <c r="AC212" s="82">
        <f t="shared" si="203"/>
        <v>0</v>
      </c>
      <c r="AD212" s="82">
        <f t="shared" si="203"/>
        <v>0</v>
      </c>
      <c r="AE212" s="82">
        <f t="shared" si="203"/>
        <v>0</v>
      </c>
      <c r="AF212" s="82">
        <f t="shared" si="203"/>
        <v>0</v>
      </c>
      <c r="AG212" s="82">
        <f t="shared" si="203"/>
        <v>0</v>
      </c>
      <c r="AH212" s="82">
        <f t="shared" si="203"/>
        <v>0</v>
      </c>
      <c r="AI212" s="82">
        <f t="shared" si="203"/>
        <v>0</v>
      </c>
      <c r="AJ212" s="548">
        <v>0</v>
      </c>
    </row>
    <row r="213" spans="2:36" ht="180" x14ac:dyDescent="0.2">
      <c r="B213" s="85"/>
      <c r="C213" s="86"/>
      <c r="D213" s="86"/>
      <c r="E213" s="86"/>
      <c r="F213" s="86"/>
      <c r="G213" s="86"/>
      <c r="H213" s="86"/>
      <c r="I213" s="86"/>
      <c r="J213" s="86"/>
      <c r="K213" s="93" t="s">
        <v>112177</v>
      </c>
      <c r="L213" s="88" t="s">
        <v>113026</v>
      </c>
      <c r="M213" s="99" t="s">
        <v>113027</v>
      </c>
      <c r="N213" s="90">
        <v>45716</v>
      </c>
      <c r="O213" s="90" t="s">
        <v>113001</v>
      </c>
      <c r="P213" s="91" t="s">
        <v>113045</v>
      </c>
      <c r="Q213" s="91" t="s">
        <v>113008</v>
      </c>
      <c r="R213" s="114">
        <v>15000000</v>
      </c>
      <c r="S213" s="528">
        <v>15000000</v>
      </c>
      <c r="T213" s="430">
        <v>0</v>
      </c>
      <c r="U213" s="93" t="s">
        <v>106081</v>
      </c>
      <c r="V213" s="124"/>
      <c r="W213" s="93" t="s">
        <v>113029</v>
      </c>
      <c r="X213" s="555"/>
      <c r="Y213" s="555"/>
      <c r="Z213" s="555"/>
      <c r="AA213" s="555"/>
      <c r="AB213" s="555"/>
      <c r="AC213" s="555"/>
      <c r="AD213" s="555"/>
      <c r="AE213" s="555"/>
      <c r="AF213" s="555"/>
      <c r="AG213" s="555"/>
      <c r="AH213" s="555"/>
      <c r="AI213" s="555"/>
      <c r="AJ213" s="548">
        <v>0</v>
      </c>
    </row>
    <row r="214" spans="2:36" ht="30" x14ac:dyDescent="0.2">
      <c r="B214" s="313" t="s">
        <v>105516</v>
      </c>
      <c r="C214" s="313" t="s">
        <v>105924</v>
      </c>
      <c r="D214" s="313" t="s">
        <v>105520</v>
      </c>
      <c r="E214" s="313" t="s">
        <v>105520</v>
      </c>
      <c r="F214" s="313" t="s">
        <v>105538</v>
      </c>
      <c r="G214" s="313" t="s">
        <v>105538</v>
      </c>
      <c r="H214" s="165"/>
      <c r="I214" s="165"/>
      <c r="J214" s="381"/>
      <c r="K214" s="165"/>
      <c r="L214" s="166"/>
      <c r="M214" s="167" t="s">
        <v>106611</v>
      </c>
      <c r="N214" s="168"/>
      <c r="O214" s="168"/>
      <c r="P214" s="169"/>
      <c r="Q214" s="169"/>
      <c r="R214" s="170">
        <f t="shared" ref="R214:S215" si="204">+R215</f>
        <v>150000000</v>
      </c>
      <c r="S214" s="170">
        <f>+S215</f>
        <v>150000000</v>
      </c>
      <c r="T214" s="170">
        <f>+T215</f>
        <v>0</v>
      </c>
      <c r="U214" s="171"/>
      <c r="V214" s="171"/>
      <c r="W214" s="165"/>
      <c r="X214" s="170">
        <f t="shared" ref="X214:AI215" si="205">+X215</f>
        <v>0</v>
      </c>
      <c r="Y214" s="170">
        <f t="shared" si="205"/>
        <v>0</v>
      </c>
      <c r="Z214" s="170">
        <f t="shared" si="205"/>
        <v>0</v>
      </c>
      <c r="AA214" s="170">
        <f t="shared" si="205"/>
        <v>0</v>
      </c>
      <c r="AB214" s="170">
        <f t="shared" si="205"/>
        <v>0</v>
      </c>
      <c r="AC214" s="170">
        <f t="shared" si="205"/>
        <v>0</v>
      </c>
      <c r="AD214" s="170">
        <f t="shared" si="205"/>
        <v>0</v>
      </c>
      <c r="AE214" s="170">
        <f t="shared" si="205"/>
        <v>0</v>
      </c>
      <c r="AF214" s="170">
        <f t="shared" si="205"/>
        <v>0</v>
      </c>
      <c r="AG214" s="170">
        <f t="shared" si="205"/>
        <v>0</v>
      </c>
      <c r="AH214" s="170">
        <f t="shared" si="205"/>
        <v>0</v>
      </c>
      <c r="AI214" s="170">
        <f t="shared" si="205"/>
        <v>0</v>
      </c>
      <c r="AJ214" s="548">
        <v>0</v>
      </c>
    </row>
    <row r="215" spans="2:36" ht="60" x14ac:dyDescent="0.2">
      <c r="B215" s="77" t="s">
        <v>105516</v>
      </c>
      <c r="C215" s="77" t="s">
        <v>105924</v>
      </c>
      <c r="D215" s="77" t="s">
        <v>105520</v>
      </c>
      <c r="E215" s="77" t="s">
        <v>105520</v>
      </c>
      <c r="F215" s="78" t="s">
        <v>105538</v>
      </c>
      <c r="G215" s="78" t="s">
        <v>105538</v>
      </c>
      <c r="H215" s="78" t="s">
        <v>105675</v>
      </c>
      <c r="I215" s="77"/>
      <c r="J215" s="375"/>
      <c r="K215" s="77"/>
      <c r="L215" s="395"/>
      <c r="M215" s="79" t="s">
        <v>106617</v>
      </c>
      <c r="N215" s="80"/>
      <c r="O215" s="80"/>
      <c r="P215" s="81"/>
      <c r="Q215" s="81"/>
      <c r="R215" s="82">
        <f t="shared" si="204"/>
        <v>150000000</v>
      </c>
      <c r="S215" s="82">
        <f t="shared" si="204"/>
        <v>150000000</v>
      </c>
      <c r="T215" s="82">
        <f>+T216</f>
        <v>0</v>
      </c>
      <c r="U215" s="83"/>
      <c r="V215" s="83"/>
      <c r="W215" s="118"/>
      <c r="X215" s="82">
        <f t="shared" si="205"/>
        <v>0</v>
      </c>
      <c r="Y215" s="82">
        <f t="shared" si="205"/>
        <v>0</v>
      </c>
      <c r="Z215" s="82">
        <f t="shared" si="205"/>
        <v>0</v>
      </c>
      <c r="AA215" s="82">
        <f t="shared" si="205"/>
        <v>0</v>
      </c>
      <c r="AB215" s="82">
        <f t="shared" si="205"/>
        <v>0</v>
      </c>
      <c r="AC215" s="82">
        <f t="shared" si="205"/>
        <v>0</v>
      </c>
      <c r="AD215" s="82">
        <f t="shared" si="205"/>
        <v>0</v>
      </c>
      <c r="AE215" s="82">
        <f t="shared" si="205"/>
        <v>0</v>
      </c>
      <c r="AF215" s="82">
        <f t="shared" si="205"/>
        <v>0</v>
      </c>
      <c r="AG215" s="82">
        <f t="shared" si="205"/>
        <v>0</v>
      </c>
      <c r="AH215" s="82">
        <f t="shared" si="205"/>
        <v>0</v>
      </c>
      <c r="AI215" s="82">
        <f t="shared" si="205"/>
        <v>0</v>
      </c>
      <c r="AJ215" s="548">
        <v>0</v>
      </c>
    </row>
    <row r="216" spans="2:36" ht="60" x14ac:dyDescent="0.2">
      <c r="B216" s="85"/>
      <c r="C216" s="86"/>
      <c r="D216" s="86"/>
      <c r="E216" s="86"/>
      <c r="F216" s="86"/>
      <c r="G216" s="86"/>
      <c r="H216" s="86"/>
      <c r="I216" s="86"/>
      <c r="J216" s="86"/>
      <c r="K216" s="93" t="s">
        <v>112186</v>
      </c>
      <c r="L216" s="88">
        <v>15101500</v>
      </c>
      <c r="M216" s="99" t="s">
        <v>113124</v>
      </c>
      <c r="N216" s="90">
        <v>45695</v>
      </c>
      <c r="O216" s="90" t="s">
        <v>113037</v>
      </c>
      <c r="P216" s="91" t="s">
        <v>113004</v>
      </c>
      <c r="Q216" s="91" t="s">
        <v>113038</v>
      </c>
      <c r="R216" s="114">
        <v>150000000</v>
      </c>
      <c r="S216" s="528">
        <v>150000000</v>
      </c>
      <c r="T216" s="430">
        <v>0</v>
      </c>
      <c r="U216" s="93" t="s">
        <v>106081</v>
      </c>
      <c r="V216" s="124"/>
      <c r="W216" s="93" t="s">
        <v>113000</v>
      </c>
      <c r="X216" s="555"/>
      <c r="Y216" s="555"/>
      <c r="Z216" s="555"/>
      <c r="AA216" s="555"/>
      <c r="AB216" s="555"/>
      <c r="AC216" s="555"/>
      <c r="AD216" s="555"/>
      <c r="AE216" s="555"/>
      <c r="AF216" s="555"/>
      <c r="AG216" s="555"/>
      <c r="AH216" s="555"/>
      <c r="AI216" s="555"/>
      <c r="AJ216" s="548">
        <v>0</v>
      </c>
    </row>
    <row r="217" spans="2:36" ht="30" x14ac:dyDescent="0.2">
      <c r="B217" s="313" t="s">
        <v>105516</v>
      </c>
      <c r="C217" s="313" t="s">
        <v>105924</v>
      </c>
      <c r="D217" s="313" t="s">
        <v>105520</v>
      </c>
      <c r="E217" s="313" t="s">
        <v>105520</v>
      </c>
      <c r="F217" s="313" t="s">
        <v>105538</v>
      </c>
      <c r="G217" s="322" t="s">
        <v>105544</v>
      </c>
      <c r="H217" s="165"/>
      <c r="I217" s="165"/>
      <c r="J217" s="381"/>
      <c r="K217" s="165"/>
      <c r="L217" s="166"/>
      <c r="M217" s="167" t="s">
        <v>106645</v>
      </c>
      <c r="N217" s="168"/>
      <c r="O217" s="168"/>
      <c r="P217" s="169"/>
      <c r="Q217" s="169"/>
      <c r="R217" s="170">
        <f>+R218</f>
        <v>35000000</v>
      </c>
      <c r="S217" s="170">
        <f t="shared" ref="S217" si="206">+S218</f>
        <v>35000000</v>
      </c>
      <c r="T217" s="170">
        <f>+T218</f>
        <v>0</v>
      </c>
      <c r="U217" s="171"/>
      <c r="V217" s="171"/>
      <c r="W217" s="165"/>
      <c r="X217" s="170">
        <f t="shared" ref="X217:AI217" si="207">+X218</f>
        <v>0</v>
      </c>
      <c r="Y217" s="170">
        <f t="shared" si="207"/>
        <v>0</v>
      </c>
      <c r="Z217" s="170">
        <f t="shared" si="207"/>
        <v>0</v>
      </c>
      <c r="AA217" s="170">
        <f t="shared" si="207"/>
        <v>0</v>
      </c>
      <c r="AB217" s="170">
        <f t="shared" si="207"/>
        <v>0</v>
      </c>
      <c r="AC217" s="170">
        <f t="shared" si="207"/>
        <v>0</v>
      </c>
      <c r="AD217" s="170">
        <f t="shared" si="207"/>
        <v>0</v>
      </c>
      <c r="AE217" s="170">
        <f t="shared" si="207"/>
        <v>0</v>
      </c>
      <c r="AF217" s="170">
        <f t="shared" si="207"/>
        <v>0</v>
      </c>
      <c r="AG217" s="170">
        <f t="shared" si="207"/>
        <v>0</v>
      </c>
      <c r="AH217" s="170">
        <f t="shared" si="207"/>
        <v>0</v>
      </c>
      <c r="AI217" s="170">
        <f t="shared" si="207"/>
        <v>0</v>
      </c>
      <c r="AJ217" s="548">
        <v>0</v>
      </c>
    </row>
    <row r="218" spans="2:36" x14ac:dyDescent="0.2">
      <c r="B218" s="77" t="s">
        <v>105516</v>
      </c>
      <c r="C218" s="77" t="s">
        <v>105924</v>
      </c>
      <c r="D218" s="77" t="s">
        <v>105520</v>
      </c>
      <c r="E218" s="77" t="s">
        <v>105520</v>
      </c>
      <c r="F218" s="77" t="s">
        <v>105538</v>
      </c>
      <c r="G218" s="77" t="s">
        <v>105544</v>
      </c>
      <c r="H218" s="175" t="s">
        <v>105573</v>
      </c>
      <c r="I218" s="77"/>
      <c r="J218" s="375"/>
      <c r="K218" s="77"/>
      <c r="L218" s="395"/>
      <c r="M218" s="106" t="s">
        <v>106649</v>
      </c>
      <c r="N218" s="80"/>
      <c r="O218" s="80"/>
      <c r="P218" s="81"/>
      <c r="Q218" s="81"/>
      <c r="R218" s="82">
        <f>SUM(R219+R220)</f>
        <v>35000000</v>
      </c>
      <c r="S218" s="82">
        <f t="shared" ref="S218" si="208">SUM(S219+S220)</f>
        <v>35000000</v>
      </c>
      <c r="T218" s="82">
        <f>SUM(T219+T220)</f>
        <v>0</v>
      </c>
      <c r="U218" s="83"/>
      <c r="V218" s="83"/>
      <c r="W218" s="118"/>
      <c r="X218" s="82">
        <f t="shared" ref="X218:Y218" si="209">SUM(X219+X220)</f>
        <v>0</v>
      </c>
      <c r="Y218" s="82">
        <f t="shared" si="209"/>
        <v>0</v>
      </c>
      <c r="Z218" s="82">
        <f t="shared" ref="Z218:AC218" si="210">SUM(Z219+Z220)</f>
        <v>0</v>
      </c>
      <c r="AA218" s="82">
        <f t="shared" si="210"/>
        <v>0</v>
      </c>
      <c r="AB218" s="82">
        <f t="shared" si="210"/>
        <v>0</v>
      </c>
      <c r="AC218" s="82">
        <f t="shared" si="210"/>
        <v>0</v>
      </c>
      <c r="AD218" s="82">
        <f t="shared" ref="AD218:AI218" si="211">SUM(AD219+AD220)</f>
        <v>0</v>
      </c>
      <c r="AE218" s="82">
        <f t="shared" si="211"/>
        <v>0</v>
      </c>
      <c r="AF218" s="82">
        <f t="shared" si="211"/>
        <v>0</v>
      </c>
      <c r="AG218" s="82">
        <f t="shared" si="211"/>
        <v>0</v>
      </c>
      <c r="AH218" s="82">
        <f t="shared" si="211"/>
        <v>0</v>
      </c>
      <c r="AI218" s="82">
        <f t="shared" si="211"/>
        <v>0</v>
      </c>
      <c r="AJ218" s="548">
        <v>0</v>
      </c>
    </row>
    <row r="219" spans="2:36" ht="240" x14ac:dyDescent="0.2">
      <c r="B219" s="133"/>
      <c r="C219" s="134"/>
      <c r="D219" s="134"/>
      <c r="E219" s="134"/>
      <c r="F219" s="134"/>
      <c r="G219" s="134"/>
      <c r="H219" s="134"/>
      <c r="I219" s="134"/>
      <c r="J219" s="134"/>
      <c r="K219" s="93" t="s">
        <v>112204</v>
      </c>
      <c r="L219" s="88" t="s">
        <v>113280</v>
      </c>
      <c r="M219" s="411" t="s">
        <v>113714</v>
      </c>
      <c r="N219" s="412">
        <v>45762</v>
      </c>
      <c r="O219" s="400" t="s">
        <v>113087</v>
      </c>
      <c r="P219" s="400" t="s">
        <v>112998</v>
      </c>
      <c r="Q219" s="400" t="s">
        <v>113034</v>
      </c>
      <c r="R219" s="301">
        <v>15000000</v>
      </c>
      <c r="S219" s="528">
        <v>15000000</v>
      </c>
      <c r="T219" s="430">
        <v>0</v>
      </c>
      <c r="U219" s="93"/>
      <c r="V219" s="94"/>
      <c r="W219" s="93" t="s">
        <v>113019</v>
      </c>
      <c r="X219" s="555"/>
      <c r="Y219" s="555"/>
      <c r="Z219" s="555"/>
      <c r="AA219" s="555"/>
      <c r="AB219" s="555"/>
      <c r="AC219" s="555"/>
      <c r="AD219" s="555"/>
      <c r="AE219" s="555"/>
      <c r="AF219" s="555"/>
      <c r="AG219" s="555"/>
      <c r="AH219" s="555"/>
      <c r="AI219" s="555"/>
      <c r="AJ219" s="548">
        <v>0</v>
      </c>
    </row>
    <row r="220" spans="2:36" x14ac:dyDescent="0.2">
      <c r="B220" s="133"/>
      <c r="C220" s="134"/>
      <c r="D220" s="134"/>
      <c r="E220" s="134"/>
      <c r="F220" s="134"/>
      <c r="G220" s="134"/>
      <c r="H220" s="134"/>
      <c r="I220" s="134"/>
      <c r="J220" s="134"/>
      <c r="K220" s="93" t="s">
        <v>112204</v>
      </c>
      <c r="L220" s="88">
        <v>44103100</v>
      </c>
      <c r="M220" s="99" t="s">
        <v>113863</v>
      </c>
      <c r="N220" s="90">
        <v>45716</v>
      </c>
      <c r="O220" s="90" t="s">
        <v>113001</v>
      </c>
      <c r="P220" s="91" t="s">
        <v>113045</v>
      </c>
      <c r="Q220" s="91" t="s">
        <v>113008</v>
      </c>
      <c r="R220" s="114">
        <v>20000000</v>
      </c>
      <c r="S220" s="528">
        <v>20000000</v>
      </c>
      <c r="T220" s="430">
        <v>0</v>
      </c>
      <c r="U220" s="93" t="s">
        <v>106081</v>
      </c>
      <c r="V220" s="94"/>
      <c r="W220" s="93" t="s">
        <v>113029</v>
      </c>
      <c r="X220" s="555"/>
      <c r="Y220" s="555"/>
      <c r="Z220" s="555"/>
      <c r="AA220" s="555"/>
      <c r="AB220" s="555"/>
      <c r="AC220" s="555"/>
      <c r="AD220" s="555"/>
      <c r="AE220" s="555"/>
      <c r="AF220" s="555"/>
      <c r="AG220" s="555"/>
      <c r="AH220" s="555"/>
      <c r="AI220" s="555"/>
      <c r="AJ220" s="548">
        <v>0</v>
      </c>
    </row>
    <row r="221" spans="2:36" x14ac:dyDescent="0.2">
      <c r="B221" s="313" t="s">
        <v>105516</v>
      </c>
      <c r="C221" s="313" t="s">
        <v>105924</v>
      </c>
      <c r="D221" s="313" t="s">
        <v>105520</v>
      </c>
      <c r="E221" s="313" t="s">
        <v>105520</v>
      </c>
      <c r="F221" s="313" t="s">
        <v>105538</v>
      </c>
      <c r="G221" s="322" t="s">
        <v>105547</v>
      </c>
      <c r="H221" s="165"/>
      <c r="I221" s="165"/>
      <c r="J221" s="381"/>
      <c r="K221" s="165"/>
      <c r="L221" s="166"/>
      <c r="M221" s="167" t="s">
        <v>106657</v>
      </c>
      <c r="N221" s="168"/>
      <c r="O221" s="168"/>
      <c r="P221" s="169"/>
      <c r="Q221" s="169"/>
      <c r="R221" s="170">
        <f>+R222+R225</f>
        <v>280000000</v>
      </c>
      <c r="S221" s="170">
        <f t="shared" ref="S221" si="212">+S222+S225</f>
        <v>326044419</v>
      </c>
      <c r="T221" s="170">
        <f>+T222+T225</f>
        <v>0</v>
      </c>
      <c r="U221" s="171"/>
      <c r="V221" s="171"/>
      <c r="W221" s="165"/>
      <c r="X221" s="170">
        <f t="shared" ref="X221:Y221" si="213">+X222+X225</f>
        <v>0</v>
      </c>
      <c r="Y221" s="170">
        <f t="shared" si="213"/>
        <v>0</v>
      </c>
      <c r="Z221" s="170">
        <f t="shared" ref="Z221:AC221" si="214">+Z222+Z225</f>
        <v>0</v>
      </c>
      <c r="AA221" s="170">
        <f t="shared" si="214"/>
        <v>0</v>
      </c>
      <c r="AB221" s="170">
        <f t="shared" si="214"/>
        <v>0</v>
      </c>
      <c r="AC221" s="170">
        <f t="shared" si="214"/>
        <v>0</v>
      </c>
      <c r="AD221" s="170">
        <f t="shared" ref="AD221:AI221" si="215">+AD222+AD225</f>
        <v>0</v>
      </c>
      <c r="AE221" s="170">
        <f t="shared" si="215"/>
        <v>0</v>
      </c>
      <c r="AF221" s="170">
        <f t="shared" si="215"/>
        <v>0</v>
      </c>
      <c r="AG221" s="170">
        <f t="shared" si="215"/>
        <v>0</v>
      </c>
      <c r="AH221" s="170">
        <f t="shared" si="215"/>
        <v>0</v>
      </c>
      <c r="AI221" s="170">
        <f t="shared" si="215"/>
        <v>0</v>
      </c>
      <c r="AJ221" s="548">
        <v>0</v>
      </c>
    </row>
    <row r="222" spans="2:36" x14ac:dyDescent="0.2">
      <c r="B222" s="77" t="s">
        <v>105516</v>
      </c>
      <c r="C222" s="77" t="s">
        <v>105924</v>
      </c>
      <c r="D222" s="77" t="s">
        <v>105520</v>
      </c>
      <c r="E222" s="77" t="s">
        <v>105520</v>
      </c>
      <c r="F222" s="77" t="s">
        <v>105538</v>
      </c>
      <c r="G222" s="175" t="s">
        <v>105547</v>
      </c>
      <c r="H222" s="175" t="s">
        <v>105675</v>
      </c>
      <c r="I222" s="77"/>
      <c r="J222" s="375"/>
      <c r="K222" s="77"/>
      <c r="L222" s="395"/>
      <c r="M222" s="79" t="s">
        <v>106663</v>
      </c>
      <c r="N222" s="80"/>
      <c r="O222" s="80"/>
      <c r="P222" s="81"/>
      <c r="Q222" s="81"/>
      <c r="R222" s="82">
        <f>SUM(R223+R224)</f>
        <v>80000000</v>
      </c>
      <c r="S222" s="82">
        <f t="shared" ref="S222" si="216">SUM(S223+S224)</f>
        <v>126144419</v>
      </c>
      <c r="T222" s="82">
        <f>SUM(T223+T224)</f>
        <v>0</v>
      </c>
      <c r="U222" s="83"/>
      <c r="V222" s="83"/>
      <c r="W222" s="118"/>
      <c r="X222" s="82">
        <f t="shared" ref="X222:Y222" si="217">SUM(X223+X224)</f>
        <v>0</v>
      </c>
      <c r="Y222" s="82">
        <f t="shared" si="217"/>
        <v>0</v>
      </c>
      <c r="Z222" s="82">
        <f t="shared" ref="Z222:AC222" si="218">SUM(Z223+Z224)</f>
        <v>0</v>
      </c>
      <c r="AA222" s="82">
        <f t="shared" si="218"/>
        <v>0</v>
      </c>
      <c r="AB222" s="82">
        <f t="shared" si="218"/>
        <v>0</v>
      </c>
      <c r="AC222" s="82">
        <f t="shared" si="218"/>
        <v>0</v>
      </c>
      <c r="AD222" s="82">
        <f t="shared" ref="AD222:AI222" si="219">SUM(AD223+AD224)</f>
        <v>0</v>
      </c>
      <c r="AE222" s="82">
        <f t="shared" si="219"/>
        <v>0</v>
      </c>
      <c r="AF222" s="82">
        <f t="shared" si="219"/>
        <v>0</v>
      </c>
      <c r="AG222" s="82">
        <f t="shared" si="219"/>
        <v>0</v>
      </c>
      <c r="AH222" s="82">
        <f t="shared" si="219"/>
        <v>0</v>
      </c>
      <c r="AI222" s="82">
        <f t="shared" si="219"/>
        <v>0</v>
      </c>
      <c r="AJ222" s="548">
        <v>0</v>
      </c>
    </row>
    <row r="223" spans="2:36" ht="135" x14ac:dyDescent="0.2">
      <c r="B223" s="85"/>
      <c r="C223" s="86"/>
      <c r="D223" s="86"/>
      <c r="E223" s="86"/>
      <c r="F223" s="86"/>
      <c r="G223" s="86"/>
      <c r="H223" s="86"/>
      <c r="I223" s="86"/>
      <c r="J223" s="86"/>
      <c r="K223" s="93" t="s">
        <v>112210</v>
      </c>
      <c r="L223" s="88" t="s">
        <v>113282</v>
      </c>
      <c r="M223" s="99" t="s">
        <v>113504</v>
      </c>
      <c r="N223" s="90">
        <v>45809</v>
      </c>
      <c r="O223" s="90" t="s">
        <v>112997</v>
      </c>
      <c r="P223" s="91" t="s">
        <v>113007</v>
      </c>
      <c r="Q223" s="91" t="s">
        <v>113008</v>
      </c>
      <c r="R223" s="301">
        <v>0</v>
      </c>
      <c r="S223" s="528">
        <f>50000000-3855581</f>
        <v>46144419</v>
      </c>
      <c r="T223" s="520">
        <v>0</v>
      </c>
      <c r="U223" s="93"/>
      <c r="V223" s="94"/>
      <c r="W223" s="93" t="s">
        <v>113019</v>
      </c>
      <c r="X223" s="555"/>
      <c r="Y223" s="555"/>
      <c r="Z223" s="555"/>
      <c r="AA223" s="555"/>
      <c r="AB223" s="555"/>
      <c r="AC223" s="555"/>
      <c r="AD223" s="555"/>
      <c r="AE223" s="555"/>
      <c r="AF223" s="555"/>
      <c r="AG223" s="555"/>
      <c r="AH223" s="555"/>
      <c r="AI223" s="555"/>
      <c r="AJ223" s="548">
        <v>0</v>
      </c>
    </row>
    <row r="224" spans="2:36" ht="150" x14ac:dyDescent="0.2">
      <c r="B224" s="133"/>
      <c r="C224" s="134"/>
      <c r="D224" s="134"/>
      <c r="E224" s="134"/>
      <c r="F224" s="134"/>
      <c r="G224" s="134"/>
      <c r="H224" s="134"/>
      <c r="I224" s="134"/>
      <c r="J224" s="134"/>
      <c r="K224" s="93" t="s">
        <v>112210</v>
      </c>
      <c r="L224" s="176" t="s">
        <v>113382</v>
      </c>
      <c r="M224" s="99" t="s">
        <v>113711</v>
      </c>
      <c r="N224" s="90">
        <v>45839</v>
      </c>
      <c r="O224" s="90" t="s">
        <v>113010</v>
      </c>
      <c r="P224" s="91" t="s">
        <v>113007</v>
      </c>
      <c r="Q224" s="400" t="s">
        <v>112999</v>
      </c>
      <c r="R224" s="92">
        <v>80000000</v>
      </c>
      <c r="S224" s="528">
        <v>80000000</v>
      </c>
      <c r="T224" s="430">
        <v>0</v>
      </c>
      <c r="U224" s="93"/>
      <c r="V224" s="94"/>
      <c r="W224" s="93" t="s">
        <v>113019</v>
      </c>
      <c r="X224" s="555"/>
      <c r="Y224" s="555"/>
      <c r="Z224" s="555"/>
      <c r="AA224" s="555"/>
      <c r="AB224" s="555"/>
      <c r="AC224" s="555"/>
      <c r="AD224" s="555"/>
      <c r="AE224" s="555"/>
      <c r="AF224" s="555"/>
      <c r="AG224" s="555"/>
      <c r="AH224" s="555"/>
      <c r="AI224" s="555"/>
      <c r="AJ224" s="548">
        <v>0</v>
      </c>
    </row>
    <row r="225" spans="2:36" x14ac:dyDescent="0.2">
      <c r="B225" s="77" t="s">
        <v>105516</v>
      </c>
      <c r="C225" s="77" t="s">
        <v>105924</v>
      </c>
      <c r="D225" s="77" t="s">
        <v>105520</v>
      </c>
      <c r="E225" s="77" t="s">
        <v>105520</v>
      </c>
      <c r="F225" s="77" t="s">
        <v>105538</v>
      </c>
      <c r="G225" s="175" t="s">
        <v>105547</v>
      </c>
      <c r="H225" s="175" t="s">
        <v>106109</v>
      </c>
      <c r="I225" s="77"/>
      <c r="J225" s="375"/>
      <c r="K225" s="77"/>
      <c r="L225" s="395"/>
      <c r="M225" s="106" t="s">
        <v>106667</v>
      </c>
      <c r="N225" s="80"/>
      <c r="O225" s="80"/>
      <c r="P225" s="81"/>
      <c r="Q225" s="81"/>
      <c r="R225" s="82">
        <f>+R226</f>
        <v>200000000</v>
      </c>
      <c r="S225" s="82">
        <f t="shared" ref="S225" si="220">+S226</f>
        <v>199900000</v>
      </c>
      <c r="T225" s="82">
        <f>+T226</f>
        <v>0</v>
      </c>
      <c r="U225" s="83"/>
      <c r="V225" s="83"/>
      <c r="W225" s="118"/>
      <c r="X225" s="82">
        <f t="shared" ref="X225:AI225" si="221">+X226</f>
        <v>0</v>
      </c>
      <c r="Y225" s="82">
        <f t="shared" si="221"/>
        <v>0</v>
      </c>
      <c r="Z225" s="82">
        <f t="shared" si="221"/>
        <v>0</v>
      </c>
      <c r="AA225" s="82">
        <f t="shared" si="221"/>
        <v>0</v>
      </c>
      <c r="AB225" s="82">
        <f t="shared" si="221"/>
        <v>0</v>
      </c>
      <c r="AC225" s="82">
        <f t="shared" si="221"/>
        <v>0</v>
      </c>
      <c r="AD225" s="82">
        <f t="shared" si="221"/>
        <v>0</v>
      </c>
      <c r="AE225" s="82">
        <f t="shared" si="221"/>
        <v>0</v>
      </c>
      <c r="AF225" s="82">
        <f t="shared" si="221"/>
        <v>0</v>
      </c>
      <c r="AG225" s="82">
        <f t="shared" si="221"/>
        <v>0</v>
      </c>
      <c r="AH225" s="82">
        <f t="shared" si="221"/>
        <v>0</v>
      </c>
      <c r="AI225" s="82">
        <f t="shared" si="221"/>
        <v>0</v>
      </c>
      <c r="AJ225" s="548">
        <v>0</v>
      </c>
    </row>
    <row r="226" spans="2:36" ht="90" x14ac:dyDescent="0.2">
      <c r="B226" s="133"/>
      <c r="C226" s="134"/>
      <c r="D226" s="134"/>
      <c r="E226" s="134"/>
      <c r="F226" s="134"/>
      <c r="G226" s="134"/>
      <c r="H226" s="134"/>
      <c r="I226" s="134"/>
      <c r="J226" s="134"/>
      <c r="K226" s="93" t="s">
        <v>112210</v>
      </c>
      <c r="L226" s="122" t="s">
        <v>113513</v>
      </c>
      <c r="M226" s="116" t="s">
        <v>113514</v>
      </c>
      <c r="N226" s="117">
        <v>45849</v>
      </c>
      <c r="O226" s="90" t="s">
        <v>113010</v>
      </c>
      <c r="P226" s="91" t="s">
        <v>112998</v>
      </c>
      <c r="Q226" s="127" t="s">
        <v>113096</v>
      </c>
      <c r="R226" s="301">
        <v>200000000</v>
      </c>
      <c r="S226" s="596">
        <f>80000000+119900000</f>
        <v>199900000</v>
      </c>
      <c r="T226" s="430">
        <v>0</v>
      </c>
      <c r="U226" s="93"/>
      <c r="V226" s="94"/>
      <c r="W226" s="93" t="s">
        <v>113019</v>
      </c>
      <c r="X226" s="555"/>
      <c r="Y226" s="555"/>
      <c r="Z226" s="555"/>
      <c r="AA226" s="555"/>
      <c r="AB226" s="555"/>
      <c r="AC226" s="555"/>
      <c r="AD226" s="555"/>
      <c r="AE226" s="555"/>
      <c r="AF226" s="555"/>
      <c r="AG226" s="555"/>
      <c r="AH226" s="555"/>
      <c r="AI226" s="555"/>
      <c r="AJ226" s="548">
        <v>0</v>
      </c>
    </row>
    <row r="227" spans="2:36" ht="30" x14ac:dyDescent="0.2">
      <c r="B227" s="313" t="s">
        <v>105516</v>
      </c>
      <c r="C227" s="313" t="s">
        <v>105924</v>
      </c>
      <c r="D227" s="313" t="s">
        <v>105520</v>
      </c>
      <c r="E227" s="313" t="s">
        <v>105520</v>
      </c>
      <c r="F227" s="313" t="s">
        <v>105538</v>
      </c>
      <c r="G227" s="313" t="s">
        <v>105550</v>
      </c>
      <c r="H227" s="165"/>
      <c r="I227" s="165"/>
      <c r="J227" s="381"/>
      <c r="K227" s="165"/>
      <c r="L227" s="166"/>
      <c r="M227" s="167" t="s">
        <v>106669</v>
      </c>
      <c r="N227" s="168"/>
      <c r="O227" s="168"/>
      <c r="P227" s="169"/>
      <c r="Q227" s="169"/>
      <c r="R227" s="170">
        <f t="shared" ref="R227:S228" si="222">+R228</f>
        <v>120000000</v>
      </c>
      <c r="S227" s="170">
        <f t="shared" si="222"/>
        <v>120000000</v>
      </c>
      <c r="T227" s="170">
        <f>+T228</f>
        <v>0</v>
      </c>
      <c r="U227" s="171"/>
      <c r="V227" s="171"/>
      <c r="W227" s="165"/>
      <c r="X227" s="170">
        <f t="shared" ref="X227:AI228" si="223">+X228</f>
        <v>0</v>
      </c>
      <c r="Y227" s="170">
        <f t="shared" si="223"/>
        <v>0</v>
      </c>
      <c r="Z227" s="170">
        <f t="shared" si="223"/>
        <v>0</v>
      </c>
      <c r="AA227" s="170">
        <f t="shared" si="223"/>
        <v>0</v>
      </c>
      <c r="AB227" s="170">
        <f t="shared" si="223"/>
        <v>0</v>
      </c>
      <c r="AC227" s="170">
        <f t="shared" si="223"/>
        <v>0</v>
      </c>
      <c r="AD227" s="170">
        <f t="shared" si="223"/>
        <v>0</v>
      </c>
      <c r="AE227" s="170">
        <f t="shared" si="223"/>
        <v>0</v>
      </c>
      <c r="AF227" s="170">
        <f t="shared" si="223"/>
        <v>0</v>
      </c>
      <c r="AG227" s="170">
        <f t="shared" si="223"/>
        <v>0</v>
      </c>
      <c r="AH227" s="170">
        <f t="shared" si="223"/>
        <v>0</v>
      </c>
      <c r="AI227" s="170">
        <f t="shared" si="223"/>
        <v>0</v>
      </c>
      <c r="AJ227" s="548">
        <v>0</v>
      </c>
    </row>
    <row r="228" spans="2:36" x14ac:dyDescent="0.2">
      <c r="B228" s="77" t="s">
        <v>105516</v>
      </c>
      <c r="C228" s="77" t="s">
        <v>105924</v>
      </c>
      <c r="D228" s="77" t="s">
        <v>105520</v>
      </c>
      <c r="E228" s="77" t="s">
        <v>105520</v>
      </c>
      <c r="F228" s="77" t="s">
        <v>105538</v>
      </c>
      <c r="G228" s="77" t="s">
        <v>105550</v>
      </c>
      <c r="H228" s="77" t="s">
        <v>105520</v>
      </c>
      <c r="I228" s="77"/>
      <c r="J228" s="375"/>
      <c r="K228" s="77"/>
      <c r="L228" s="395"/>
      <c r="M228" s="79" t="s">
        <v>106671</v>
      </c>
      <c r="N228" s="80"/>
      <c r="O228" s="80"/>
      <c r="P228" s="81"/>
      <c r="Q228" s="81"/>
      <c r="R228" s="82">
        <f t="shared" si="222"/>
        <v>120000000</v>
      </c>
      <c r="S228" s="82">
        <f>+S229</f>
        <v>120000000</v>
      </c>
      <c r="T228" s="82">
        <f>+T229</f>
        <v>0</v>
      </c>
      <c r="U228" s="83"/>
      <c r="V228" s="83"/>
      <c r="W228" s="118"/>
      <c r="X228" s="82">
        <f t="shared" si="223"/>
        <v>0</v>
      </c>
      <c r="Y228" s="82">
        <f t="shared" si="223"/>
        <v>0</v>
      </c>
      <c r="Z228" s="82">
        <f t="shared" si="223"/>
        <v>0</v>
      </c>
      <c r="AA228" s="82">
        <f t="shared" si="223"/>
        <v>0</v>
      </c>
      <c r="AB228" s="82">
        <f t="shared" si="223"/>
        <v>0</v>
      </c>
      <c r="AC228" s="82">
        <f t="shared" si="223"/>
        <v>0</v>
      </c>
      <c r="AD228" s="82">
        <f t="shared" si="223"/>
        <v>0</v>
      </c>
      <c r="AE228" s="82">
        <f t="shared" si="223"/>
        <v>0</v>
      </c>
      <c r="AF228" s="82">
        <f t="shared" si="223"/>
        <v>0</v>
      </c>
      <c r="AG228" s="82">
        <f t="shared" si="223"/>
        <v>0</v>
      </c>
      <c r="AH228" s="82">
        <f t="shared" si="223"/>
        <v>0</v>
      </c>
      <c r="AI228" s="82">
        <f t="shared" si="223"/>
        <v>0</v>
      </c>
      <c r="AJ228" s="548">
        <v>0</v>
      </c>
    </row>
    <row r="229" spans="2:36" ht="45" x14ac:dyDescent="0.2">
      <c r="B229" s="85"/>
      <c r="C229" s="86"/>
      <c r="D229" s="86"/>
      <c r="E229" s="86"/>
      <c r="F229" s="86"/>
      <c r="G229" s="86"/>
      <c r="H229" s="86"/>
      <c r="I229" s="86"/>
      <c r="J229" s="86"/>
      <c r="K229" s="93" t="s">
        <v>112216</v>
      </c>
      <c r="L229" s="88">
        <v>30171600</v>
      </c>
      <c r="M229" s="99" t="s">
        <v>113874</v>
      </c>
      <c r="N229" s="90">
        <v>45337</v>
      </c>
      <c r="O229" s="90" t="s">
        <v>113001</v>
      </c>
      <c r="P229" s="91" t="s">
        <v>113004</v>
      </c>
      <c r="Q229" s="91" t="s">
        <v>112999</v>
      </c>
      <c r="R229" s="455">
        <v>120000000</v>
      </c>
      <c r="S229" s="528">
        <v>120000000</v>
      </c>
      <c r="T229" s="430">
        <v>0</v>
      </c>
      <c r="U229" s="93" t="s">
        <v>106081</v>
      </c>
      <c r="V229" s="94"/>
      <c r="W229" s="93" t="s">
        <v>113000</v>
      </c>
      <c r="X229" s="555"/>
      <c r="Y229" s="555"/>
      <c r="Z229" s="555"/>
      <c r="AA229" s="555"/>
      <c r="AB229" s="555"/>
      <c r="AC229" s="555"/>
      <c r="AD229" s="555"/>
      <c r="AE229" s="555"/>
      <c r="AF229" s="555"/>
      <c r="AG229" s="555"/>
      <c r="AH229" s="555"/>
      <c r="AI229" s="555"/>
      <c r="AJ229" s="548">
        <v>0</v>
      </c>
    </row>
    <row r="230" spans="2:36" x14ac:dyDescent="0.2">
      <c r="B230" s="60" t="s">
        <v>105516</v>
      </c>
      <c r="C230" s="60" t="s">
        <v>105924</v>
      </c>
      <c r="D230" s="60" t="s">
        <v>105520</v>
      </c>
      <c r="E230" s="60" t="s">
        <v>105520</v>
      </c>
      <c r="F230" s="177" t="s">
        <v>105541</v>
      </c>
      <c r="G230" s="60"/>
      <c r="H230" s="60"/>
      <c r="I230" s="60"/>
      <c r="J230" s="373"/>
      <c r="K230" s="248"/>
      <c r="L230" s="62"/>
      <c r="M230" s="63" t="s">
        <v>112242</v>
      </c>
      <c r="N230" s="64"/>
      <c r="O230" s="64"/>
      <c r="P230" s="65"/>
      <c r="Q230" s="65"/>
      <c r="R230" s="66">
        <f>+R231+R234</f>
        <v>70000000</v>
      </c>
      <c r="S230" s="66">
        <f>+S231+S234+S236</f>
        <v>208855581</v>
      </c>
      <c r="T230" s="66">
        <f>+T231+T234</f>
        <v>0</v>
      </c>
      <c r="U230" s="67"/>
      <c r="V230" s="67"/>
      <c r="W230" s="248"/>
      <c r="X230" s="66">
        <f t="shared" ref="X230:Y230" si="224">+X231+X234</f>
        <v>0</v>
      </c>
      <c r="Y230" s="66">
        <f t="shared" si="224"/>
        <v>0</v>
      </c>
      <c r="Z230" s="66">
        <f t="shared" ref="Z230:AC230" si="225">+Z231+Z234</f>
        <v>0</v>
      </c>
      <c r="AA230" s="66">
        <f t="shared" si="225"/>
        <v>0</v>
      </c>
      <c r="AB230" s="66">
        <f t="shared" si="225"/>
        <v>0</v>
      </c>
      <c r="AC230" s="66">
        <f t="shared" si="225"/>
        <v>0</v>
      </c>
      <c r="AD230" s="66">
        <f t="shared" ref="AD230:AI230" si="226">+AD231+AD234</f>
        <v>0</v>
      </c>
      <c r="AE230" s="66">
        <f t="shared" si="226"/>
        <v>0</v>
      </c>
      <c r="AF230" s="66">
        <f t="shared" si="226"/>
        <v>0</v>
      </c>
      <c r="AG230" s="66">
        <f t="shared" si="226"/>
        <v>0</v>
      </c>
      <c r="AH230" s="66">
        <f t="shared" si="226"/>
        <v>0</v>
      </c>
      <c r="AI230" s="66">
        <f t="shared" si="226"/>
        <v>0</v>
      </c>
      <c r="AJ230" s="548">
        <v>0</v>
      </c>
    </row>
    <row r="231" spans="2:36" ht="30" x14ac:dyDescent="0.2">
      <c r="B231" s="313" t="s">
        <v>105516</v>
      </c>
      <c r="C231" s="313" t="s">
        <v>105924</v>
      </c>
      <c r="D231" s="313" t="s">
        <v>105520</v>
      </c>
      <c r="E231" s="313" t="s">
        <v>105520</v>
      </c>
      <c r="F231" s="313" t="s">
        <v>105541</v>
      </c>
      <c r="G231" s="313" t="s">
        <v>105535</v>
      </c>
      <c r="H231" s="165"/>
      <c r="I231" s="165"/>
      <c r="J231" s="381"/>
      <c r="K231" s="165"/>
      <c r="L231" s="166"/>
      <c r="M231" s="167" t="s">
        <v>106709</v>
      </c>
      <c r="N231" s="168"/>
      <c r="O231" s="168"/>
      <c r="P231" s="169"/>
      <c r="Q231" s="169"/>
      <c r="R231" s="170">
        <f>SUM(R232:R233)</f>
        <v>0</v>
      </c>
      <c r="S231" s="170">
        <f>SUM(S232:S233)</f>
        <v>53855581</v>
      </c>
      <c r="T231" s="170">
        <f>SUM(T232:T233)</f>
        <v>0</v>
      </c>
      <c r="U231" s="171"/>
      <c r="V231" s="171"/>
      <c r="W231" s="165"/>
      <c r="X231" s="170">
        <f t="shared" ref="X231:Y231" si="227">SUM(X232:X233)</f>
        <v>0</v>
      </c>
      <c r="Y231" s="170">
        <f t="shared" si="227"/>
        <v>0</v>
      </c>
      <c r="Z231" s="170">
        <f t="shared" ref="Z231:AC231" si="228">SUM(Z232:Z233)</f>
        <v>0</v>
      </c>
      <c r="AA231" s="170">
        <f t="shared" si="228"/>
        <v>0</v>
      </c>
      <c r="AB231" s="170">
        <f t="shared" si="228"/>
        <v>0</v>
      </c>
      <c r="AC231" s="170">
        <f t="shared" si="228"/>
        <v>0</v>
      </c>
      <c r="AD231" s="170">
        <f t="shared" ref="AD231:AI231" si="229">SUM(AD232:AD233)</f>
        <v>0</v>
      </c>
      <c r="AE231" s="170">
        <f t="shared" si="229"/>
        <v>0</v>
      </c>
      <c r="AF231" s="170">
        <f t="shared" si="229"/>
        <v>0</v>
      </c>
      <c r="AG231" s="170">
        <f t="shared" si="229"/>
        <v>0</v>
      </c>
      <c r="AH231" s="170">
        <f t="shared" si="229"/>
        <v>0</v>
      </c>
      <c r="AI231" s="170">
        <f t="shared" si="229"/>
        <v>0</v>
      </c>
      <c r="AJ231" s="548">
        <v>0</v>
      </c>
    </row>
    <row r="232" spans="2:36" ht="45" x14ac:dyDescent="0.2">
      <c r="B232" s="85"/>
      <c r="C232" s="86"/>
      <c r="D232" s="86"/>
      <c r="E232" s="86"/>
      <c r="F232" s="86"/>
      <c r="G232" s="86"/>
      <c r="H232" s="86"/>
      <c r="I232" s="86"/>
      <c r="J232" s="86"/>
      <c r="K232" s="93" t="s">
        <v>112244</v>
      </c>
      <c r="L232" s="176" t="s">
        <v>113383</v>
      </c>
      <c r="M232" s="99" t="s">
        <v>113384</v>
      </c>
      <c r="N232" s="117">
        <v>45819</v>
      </c>
      <c r="O232" s="90" t="s">
        <v>112997</v>
      </c>
      <c r="P232" s="91" t="s">
        <v>112998</v>
      </c>
      <c r="Q232" s="91" t="s">
        <v>112999</v>
      </c>
      <c r="R232" s="301">
        <v>0</v>
      </c>
      <c r="S232" s="588">
        <f>154300000-119900000-17200000-17200000</f>
        <v>0</v>
      </c>
      <c r="T232" s="430"/>
      <c r="U232" s="93"/>
      <c r="V232" s="94"/>
      <c r="W232" s="93" t="s">
        <v>113019</v>
      </c>
      <c r="X232" s="548"/>
      <c r="Y232" s="548"/>
      <c r="Z232" s="548"/>
      <c r="AA232" s="548"/>
      <c r="AB232" s="548"/>
      <c r="AC232" s="548"/>
      <c r="AD232" s="548"/>
      <c r="AE232" s="548"/>
      <c r="AF232" s="548"/>
      <c r="AG232" s="548"/>
      <c r="AH232" s="548"/>
      <c r="AI232" s="548"/>
      <c r="AJ232" s="548">
        <v>0</v>
      </c>
    </row>
    <row r="233" spans="2:36" ht="135" x14ac:dyDescent="0.2">
      <c r="B233" s="85"/>
      <c r="C233" s="86"/>
      <c r="D233" s="86"/>
      <c r="E233" s="86"/>
      <c r="F233" s="86"/>
      <c r="G233" s="86"/>
      <c r="H233" s="86"/>
      <c r="I233" s="86"/>
      <c r="J233" s="86"/>
      <c r="K233" s="93" t="s">
        <v>112244</v>
      </c>
      <c r="L233" s="88" t="s">
        <v>113282</v>
      </c>
      <c r="M233" s="99" t="s">
        <v>113504</v>
      </c>
      <c r="N233" s="90">
        <v>45809</v>
      </c>
      <c r="O233" s="90" t="s">
        <v>112997</v>
      </c>
      <c r="P233" s="91" t="s">
        <v>113007</v>
      </c>
      <c r="Q233" s="91" t="s">
        <v>113008</v>
      </c>
      <c r="R233" s="301">
        <v>0</v>
      </c>
      <c r="S233" s="430">
        <f>50000000+3855581</f>
        <v>53855581</v>
      </c>
      <c r="T233" s="430"/>
      <c r="U233" s="93"/>
      <c r="V233" s="94"/>
      <c r="W233" s="93" t="s">
        <v>113019</v>
      </c>
      <c r="X233" s="548"/>
      <c r="Y233" s="548"/>
      <c r="Z233" s="548"/>
      <c r="AA233" s="548"/>
      <c r="AB233" s="548"/>
      <c r="AC233" s="548"/>
      <c r="AD233" s="548"/>
      <c r="AE233" s="548"/>
      <c r="AF233" s="548"/>
      <c r="AG233" s="548"/>
      <c r="AH233" s="548"/>
      <c r="AI233" s="548"/>
      <c r="AJ233" s="548">
        <v>0</v>
      </c>
    </row>
    <row r="234" spans="2:36" x14ac:dyDescent="0.2">
      <c r="B234" s="313" t="s">
        <v>105516</v>
      </c>
      <c r="C234" s="313" t="s">
        <v>105924</v>
      </c>
      <c r="D234" s="313" t="s">
        <v>105520</v>
      </c>
      <c r="E234" s="313" t="s">
        <v>105520</v>
      </c>
      <c r="F234" s="313" t="s">
        <v>105541</v>
      </c>
      <c r="G234" s="322" t="s">
        <v>105547</v>
      </c>
      <c r="H234" s="165"/>
      <c r="I234" s="165"/>
      <c r="J234" s="381"/>
      <c r="K234" s="165"/>
      <c r="L234" s="166"/>
      <c r="M234" s="167" t="s">
        <v>106270</v>
      </c>
      <c r="N234" s="168"/>
      <c r="O234" s="168"/>
      <c r="P234" s="169"/>
      <c r="Q234" s="169"/>
      <c r="R234" s="170">
        <f>+R235</f>
        <v>70000000</v>
      </c>
      <c r="S234" s="170">
        <f>+S235</f>
        <v>35000000</v>
      </c>
      <c r="T234" s="170">
        <f>+T235</f>
        <v>0</v>
      </c>
      <c r="U234" s="171"/>
      <c r="V234" s="171"/>
      <c r="W234" s="165"/>
      <c r="X234" s="170">
        <f t="shared" ref="X234:AI234" si="230">+X235</f>
        <v>0</v>
      </c>
      <c r="Y234" s="170">
        <f t="shared" si="230"/>
        <v>0</v>
      </c>
      <c r="Z234" s="170">
        <f t="shared" si="230"/>
        <v>0</v>
      </c>
      <c r="AA234" s="170">
        <f t="shared" si="230"/>
        <v>0</v>
      </c>
      <c r="AB234" s="170">
        <f t="shared" si="230"/>
        <v>0</v>
      </c>
      <c r="AC234" s="170">
        <f t="shared" si="230"/>
        <v>0</v>
      </c>
      <c r="AD234" s="170">
        <f t="shared" si="230"/>
        <v>0</v>
      </c>
      <c r="AE234" s="170">
        <f t="shared" si="230"/>
        <v>0</v>
      </c>
      <c r="AF234" s="170">
        <f t="shared" si="230"/>
        <v>0</v>
      </c>
      <c r="AG234" s="170">
        <f t="shared" si="230"/>
        <v>0</v>
      </c>
      <c r="AH234" s="170">
        <f t="shared" si="230"/>
        <v>0</v>
      </c>
      <c r="AI234" s="170">
        <f t="shared" si="230"/>
        <v>0</v>
      </c>
      <c r="AJ234" s="548">
        <v>0</v>
      </c>
    </row>
    <row r="235" spans="2:36" ht="45" x14ac:dyDescent="0.2">
      <c r="B235" s="85"/>
      <c r="C235" s="86"/>
      <c r="D235" s="86"/>
      <c r="E235" s="86"/>
      <c r="F235" s="86"/>
      <c r="G235" s="86"/>
      <c r="H235" s="86"/>
      <c r="I235" s="86"/>
      <c r="J235" s="86"/>
      <c r="K235" s="93" t="s">
        <v>112266</v>
      </c>
      <c r="L235" s="176">
        <v>46171619</v>
      </c>
      <c r="M235" s="99" t="s">
        <v>113864</v>
      </c>
      <c r="N235" s="90">
        <v>45731</v>
      </c>
      <c r="O235" s="90" t="s">
        <v>113006</v>
      </c>
      <c r="P235" s="91" t="s">
        <v>113011</v>
      </c>
      <c r="Q235" s="91" t="s">
        <v>113113</v>
      </c>
      <c r="R235" s="92">
        <v>70000000</v>
      </c>
      <c r="S235" s="528">
        <v>35000000</v>
      </c>
      <c r="T235" s="430">
        <v>0</v>
      </c>
      <c r="U235" s="93" t="s">
        <v>106081</v>
      </c>
      <c r="V235" s="94"/>
      <c r="W235" s="93" t="s">
        <v>113000</v>
      </c>
      <c r="X235" s="555"/>
      <c r="Y235" s="555"/>
      <c r="Z235" s="555"/>
      <c r="AA235" s="555"/>
      <c r="AB235" s="555"/>
      <c r="AC235" s="555"/>
      <c r="AD235" s="555"/>
      <c r="AE235" s="555"/>
      <c r="AF235" s="555"/>
      <c r="AG235" s="555"/>
      <c r="AH235" s="555"/>
      <c r="AI235" s="555"/>
      <c r="AJ235" s="548">
        <v>0</v>
      </c>
    </row>
    <row r="236" spans="2:36" x14ac:dyDescent="0.2">
      <c r="B236" s="313" t="s">
        <v>105516</v>
      </c>
      <c r="C236" s="313" t="s">
        <v>105924</v>
      </c>
      <c r="D236" s="313" t="s">
        <v>105520</v>
      </c>
      <c r="E236" s="313" t="s">
        <v>105520</v>
      </c>
      <c r="F236" s="313" t="s">
        <v>105541</v>
      </c>
      <c r="G236" s="322" t="s">
        <v>105550</v>
      </c>
      <c r="H236" s="165"/>
      <c r="I236" s="165"/>
      <c r="J236" s="381"/>
      <c r="K236" s="165"/>
      <c r="L236" s="166"/>
      <c r="M236" s="167" t="s">
        <v>106284</v>
      </c>
      <c r="N236" s="168"/>
      <c r="O236" s="168"/>
      <c r="P236" s="169"/>
      <c r="Q236" s="169"/>
      <c r="R236" s="170">
        <f>+R238</f>
        <v>0</v>
      </c>
      <c r="S236" s="170">
        <f>S237</f>
        <v>120000000</v>
      </c>
      <c r="T236" s="170">
        <f>+T238</f>
        <v>0</v>
      </c>
      <c r="U236" s="171"/>
      <c r="V236" s="171"/>
      <c r="W236" s="165"/>
      <c r="X236" s="555"/>
      <c r="Y236" s="555"/>
      <c r="Z236" s="555"/>
      <c r="AA236" s="555"/>
      <c r="AB236" s="555"/>
      <c r="AC236" s="555"/>
      <c r="AD236" s="555"/>
      <c r="AE236" s="555"/>
      <c r="AF236" s="555"/>
      <c r="AG236" s="555"/>
      <c r="AH236" s="555"/>
      <c r="AI236" s="555"/>
      <c r="AJ236" s="548"/>
    </row>
    <row r="237" spans="2:36" ht="30" x14ac:dyDescent="0.2">
      <c r="B237" s="77" t="s">
        <v>105516</v>
      </c>
      <c r="C237" s="77" t="s">
        <v>105924</v>
      </c>
      <c r="D237" s="77" t="s">
        <v>105520</v>
      </c>
      <c r="E237" s="78" t="s">
        <v>105520</v>
      </c>
      <c r="F237" s="78" t="s">
        <v>105541</v>
      </c>
      <c r="G237" s="78" t="s">
        <v>105550</v>
      </c>
      <c r="H237" s="78" t="s">
        <v>105573</v>
      </c>
      <c r="I237" s="77"/>
      <c r="J237" s="375"/>
      <c r="K237" s="77"/>
      <c r="L237" s="395"/>
      <c r="M237" s="568" t="s">
        <v>106288</v>
      </c>
      <c r="N237" s="107"/>
      <c r="O237" s="107"/>
      <c r="P237" s="108"/>
      <c r="Q237" s="108"/>
      <c r="R237" s="109">
        <f>SUM(R238:R244)</f>
        <v>45729762000</v>
      </c>
      <c r="S237" s="109">
        <f>SUM(S238)</f>
        <v>120000000</v>
      </c>
      <c r="T237" s="82">
        <f>SUM(T238:T244)</f>
        <v>3294777727.3000002</v>
      </c>
      <c r="U237" s="83"/>
      <c r="V237" s="83"/>
      <c r="W237" s="118"/>
      <c r="X237" s="555"/>
      <c r="Y237" s="555"/>
      <c r="Z237" s="555"/>
      <c r="AA237" s="555"/>
      <c r="AB237" s="555"/>
      <c r="AC237" s="555"/>
      <c r="AD237" s="555"/>
      <c r="AE237" s="555"/>
      <c r="AF237" s="555"/>
      <c r="AG237" s="555"/>
      <c r="AH237" s="555"/>
      <c r="AI237" s="555"/>
      <c r="AJ237" s="548"/>
    </row>
    <row r="238" spans="2:36" ht="60" x14ac:dyDescent="0.2">
      <c r="B238" s="85"/>
      <c r="C238" s="86"/>
      <c r="D238" s="86"/>
      <c r="E238" s="86"/>
      <c r="F238" s="86"/>
      <c r="G238" s="86"/>
      <c r="H238" s="86"/>
      <c r="I238" s="86"/>
      <c r="J238" s="86"/>
      <c r="K238" s="93" t="s">
        <v>112273</v>
      </c>
      <c r="L238" s="176" t="s">
        <v>113831</v>
      </c>
      <c r="M238" s="99" t="s">
        <v>113848</v>
      </c>
      <c r="N238" s="90">
        <v>45733</v>
      </c>
      <c r="O238" s="90" t="s">
        <v>113006</v>
      </c>
      <c r="P238" s="91" t="s">
        <v>113002</v>
      </c>
      <c r="Q238" s="91" t="s">
        <v>112999</v>
      </c>
      <c r="R238" s="92"/>
      <c r="S238" s="528">
        <v>120000000</v>
      </c>
      <c r="T238" s="430"/>
      <c r="U238" s="93"/>
      <c r="V238" s="94"/>
      <c r="W238" s="93" t="s">
        <v>113003</v>
      </c>
      <c r="X238" s="555"/>
      <c r="Y238" s="555"/>
      <c r="Z238" s="555"/>
      <c r="AA238" s="555"/>
      <c r="AB238" s="555"/>
      <c r="AC238" s="555"/>
      <c r="AD238" s="555"/>
      <c r="AE238" s="555"/>
      <c r="AF238" s="555"/>
      <c r="AG238" s="555"/>
      <c r="AH238" s="555"/>
      <c r="AI238" s="555"/>
      <c r="AJ238" s="548"/>
    </row>
    <row r="239" spans="2:36" ht="15.75" x14ac:dyDescent="0.2">
      <c r="B239" s="157" t="s">
        <v>105516</v>
      </c>
      <c r="C239" s="157" t="s">
        <v>105924</v>
      </c>
      <c r="D239" s="157" t="s">
        <v>105520</v>
      </c>
      <c r="E239" s="157" t="s">
        <v>105573</v>
      </c>
      <c r="F239" s="157"/>
      <c r="G239" s="157"/>
      <c r="H239" s="157"/>
      <c r="I239" s="157"/>
      <c r="J239" s="380"/>
      <c r="K239" s="157"/>
      <c r="L239" s="158">
        <v>30171700</v>
      </c>
      <c r="M239" s="159" t="s">
        <v>106777</v>
      </c>
      <c r="N239" s="160"/>
      <c r="O239" s="160"/>
      <c r="P239" s="161"/>
      <c r="Q239" s="161"/>
      <c r="R239" s="162">
        <f>SUM(R240+R265+R269+R281)</f>
        <v>15693200000</v>
      </c>
      <c r="S239" s="162">
        <f>SUM(S240+S265+S269+S281)</f>
        <v>15559100000</v>
      </c>
      <c r="T239" s="162">
        <f>SUM(T240+T265+T269+T281)</f>
        <v>658955545.46000004</v>
      </c>
      <c r="U239" s="163"/>
      <c r="V239" s="163"/>
      <c r="W239" s="362"/>
      <c r="X239" s="162">
        <f t="shared" ref="X239:Y239" si="231">SUM(X240+X265+X269+X281)</f>
        <v>0</v>
      </c>
      <c r="Y239" s="162">
        <f t="shared" si="231"/>
        <v>0</v>
      </c>
      <c r="Z239" s="162">
        <f t="shared" ref="Z239:AC239" si="232">SUM(Z240+Z265+Z269+Z281)</f>
        <v>0</v>
      </c>
      <c r="AA239" s="162">
        <f t="shared" si="232"/>
        <v>0</v>
      </c>
      <c r="AB239" s="162">
        <f t="shared" si="232"/>
        <v>0</v>
      </c>
      <c r="AC239" s="162">
        <f t="shared" si="232"/>
        <v>0</v>
      </c>
      <c r="AD239" s="162">
        <f t="shared" ref="AD239:AI239" si="233">SUM(AD240+AD265+AD269+AD281)</f>
        <v>0</v>
      </c>
      <c r="AE239" s="162">
        <f t="shared" si="233"/>
        <v>0</v>
      </c>
      <c r="AF239" s="162">
        <f t="shared" si="233"/>
        <v>0</v>
      </c>
      <c r="AG239" s="162">
        <f t="shared" si="233"/>
        <v>0</v>
      </c>
      <c r="AH239" s="162">
        <f t="shared" si="233"/>
        <v>0</v>
      </c>
      <c r="AI239" s="162">
        <f t="shared" si="233"/>
        <v>0</v>
      </c>
      <c r="AJ239" s="548">
        <v>0</v>
      </c>
    </row>
    <row r="240" spans="2:36" x14ac:dyDescent="0.2">
      <c r="B240" s="60" t="s">
        <v>105516</v>
      </c>
      <c r="C240" s="60" t="s">
        <v>105924</v>
      </c>
      <c r="D240" s="60" t="s">
        <v>105520</v>
      </c>
      <c r="E240" s="60" t="s">
        <v>105573</v>
      </c>
      <c r="F240" s="60" t="s">
        <v>105544</v>
      </c>
      <c r="G240" s="60"/>
      <c r="H240" s="60"/>
      <c r="I240" s="60"/>
      <c r="J240" s="373"/>
      <c r="K240" s="248"/>
      <c r="L240" s="62">
        <v>75153000</v>
      </c>
      <c r="M240" s="63" t="s">
        <v>106779</v>
      </c>
      <c r="N240" s="64"/>
      <c r="O240" s="64"/>
      <c r="P240" s="65"/>
      <c r="Q240" s="65"/>
      <c r="R240" s="66">
        <f>+R241</f>
        <v>8518441000</v>
      </c>
      <c r="S240" s="66">
        <f>+S241</f>
        <v>8314605940.2399998</v>
      </c>
      <c r="T240" s="66">
        <f>+T241</f>
        <v>658955545.46000004</v>
      </c>
      <c r="U240" s="67"/>
      <c r="V240" s="67"/>
      <c r="W240" s="248"/>
      <c r="X240" s="66">
        <f t="shared" ref="X240:AI240" si="234">+X241</f>
        <v>0</v>
      </c>
      <c r="Y240" s="66">
        <f t="shared" si="234"/>
        <v>0</v>
      </c>
      <c r="Z240" s="66">
        <f t="shared" si="234"/>
        <v>0</v>
      </c>
      <c r="AA240" s="66">
        <f t="shared" si="234"/>
        <v>0</v>
      </c>
      <c r="AB240" s="66">
        <f t="shared" si="234"/>
        <v>0</v>
      </c>
      <c r="AC240" s="66">
        <f t="shared" si="234"/>
        <v>0</v>
      </c>
      <c r="AD240" s="66">
        <f t="shared" si="234"/>
        <v>0</v>
      </c>
      <c r="AE240" s="66">
        <f t="shared" si="234"/>
        <v>0</v>
      </c>
      <c r="AF240" s="66">
        <f t="shared" si="234"/>
        <v>0</v>
      </c>
      <c r="AG240" s="66">
        <f t="shared" si="234"/>
        <v>0</v>
      </c>
      <c r="AH240" s="66">
        <f t="shared" si="234"/>
        <v>0</v>
      </c>
      <c r="AI240" s="66">
        <f t="shared" si="234"/>
        <v>0</v>
      </c>
      <c r="AJ240" s="548">
        <v>0</v>
      </c>
    </row>
    <row r="241" spans="2:36" x14ac:dyDescent="0.2">
      <c r="B241" s="313" t="s">
        <v>105516</v>
      </c>
      <c r="C241" s="313" t="s">
        <v>105924</v>
      </c>
      <c r="D241" s="313" t="s">
        <v>105520</v>
      </c>
      <c r="E241" s="313" t="s">
        <v>105573</v>
      </c>
      <c r="F241" s="313" t="s">
        <v>105544</v>
      </c>
      <c r="G241" s="313" t="s">
        <v>105541</v>
      </c>
      <c r="H241" s="165"/>
      <c r="I241" s="165"/>
      <c r="J241" s="381"/>
      <c r="K241" s="165"/>
      <c r="L241" s="166"/>
      <c r="M241" s="178" t="s">
        <v>106781</v>
      </c>
      <c r="N241" s="168"/>
      <c r="O241" s="168"/>
      <c r="P241" s="169"/>
      <c r="Q241" s="169"/>
      <c r="R241" s="170">
        <f>+R242+R250+R259</f>
        <v>8518441000</v>
      </c>
      <c r="S241" s="170">
        <f>+S242+S250+S259</f>
        <v>8314605940.2399998</v>
      </c>
      <c r="T241" s="170">
        <f>+T242+T250+T259</f>
        <v>658955545.46000004</v>
      </c>
      <c r="U241" s="171"/>
      <c r="V241" s="171"/>
      <c r="W241" s="165"/>
      <c r="X241" s="170">
        <f t="shared" ref="X241:Y241" si="235">+X242+X250+X259</f>
        <v>0</v>
      </c>
      <c r="Y241" s="170">
        <f t="shared" si="235"/>
        <v>0</v>
      </c>
      <c r="Z241" s="170">
        <f t="shared" ref="Z241:AC241" si="236">+Z242+Z250+Z259</f>
        <v>0</v>
      </c>
      <c r="AA241" s="170">
        <f t="shared" si="236"/>
        <v>0</v>
      </c>
      <c r="AB241" s="170">
        <f t="shared" si="236"/>
        <v>0</v>
      </c>
      <c r="AC241" s="170">
        <f t="shared" si="236"/>
        <v>0</v>
      </c>
      <c r="AD241" s="170">
        <f t="shared" ref="AD241:AI241" si="237">+AD242+AD250+AD259</f>
        <v>0</v>
      </c>
      <c r="AE241" s="170">
        <f t="shared" si="237"/>
        <v>0</v>
      </c>
      <c r="AF241" s="170">
        <f t="shared" si="237"/>
        <v>0</v>
      </c>
      <c r="AG241" s="170">
        <f t="shared" si="237"/>
        <v>0</v>
      </c>
      <c r="AH241" s="170">
        <f t="shared" si="237"/>
        <v>0</v>
      </c>
      <c r="AI241" s="170">
        <f t="shared" si="237"/>
        <v>0</v>
      </c>
      <c r="AJ241" s="548">
        <v>0</v>
      </c>
    </row>
    <row r="242" spans="2:36" x14ac:dyDescent="0.2">
      <c r="B242" s="77" t="s">
        <v>105516</v>
      </c>
      <c r="C242" s="77" t="s">
        <v>105924</v>
      </c>
      <c r="D242" s="77" t="s">
        <v>105520</v>
      </c>
      <c r="E242" s="77" t="s">
        <v>105573</v>
      </c>
      <c r="F242" s="77" t="s">
        <v>105544</v>
      </c>
      <c r="G242" s="77" t="s">
        <v>105541</v>
      </c>
      <c r="H242" s="77" t="s">
        <v>105924</v>
      </c>
      <c r="I242" s="77"/>
      <c r="J242" s="375"/>
      <c r="K242" s="77"/>
      <c r="L242" s="395"/>
      <c r="M242" s="79" t="s">
        <v>106811</v>
      </c>
      <c r="N242" s="80"/>
      <c r="O242" s="80"/>
      <c r="P242" s="81"/>
      <c r="Q242" s="81"/>
      <c r="R242" s="82">
        <f>SUM(R243:R249)</f>
        <v>6681440000</v>
      </c>
      <c r="S242" s="82">
        <f>SUM(S243:S249)</f>
        <v>6593704940.2399998</v>
      </c>
      <c r="T242" s="82">
        <f>SUM(T243:T249)</f>
        <v>658955545.46000004</v>
      </c>
      <c r="U242" s="83"/>
      <c r="V242" s="83"/>
      <c r="W242" s="118"/>
      <c r="X242" s="82">
        <f t="shared" ref="X242:Y242" si="238">SUM(X243:X249)</f>
        <v>0</v>
      </c>
      <c r="Y242" s="82">
        <f t="shared" si="238"/>
        <v>0</v>
      </c>
      <c r="Z242" s="82">
        <f t="shared" ref="Z242:AC242" si="239">SUM(Z243:Z249)</f>
        <v>0</v>
      </c>
      <c r="AA242" s="82">
        <f t="shared" si="239"/>
        <v>0</v>
      </c>
      <c r="AB242" s="82">
        <f t="shared" si="239"/>
        <v>0</v>
      </c>
      <c r="AC242" s="82">
        <f t="shared" si="239"/>
        <v>0</v>
      </c>
      <c r="AD242" s="82">
        <f t="shared" ref="AD242:AI242" si="240">SUM(AD243:AD249)</f>
        <v>0</v>
      </c>
      <c r="AE242" s="82">
        <f t="shared" si="240"/>
        <v>0</v>
      </c>
      <c r="AF242" s="82">
        <f t="shared" si="240"/>
        <v>0</v>
      </c>
      <c r="AG242" s="82">
        <f t="shared" si="240"/>
        <v>0</v>
      </c>
      <c r="AH242" s="82">
        <f t="shared" si="240"/>
        <v>0</v>
      </c>
      <c r="AI242" s="82">
        <f t="shared" si="240"/>
        <v>0</v>
      </c>
      <c r="AJ242" s="548">
        <v>0</v>
      </c>
    </row>
    <row r="243" spans="2:36" ht="300" x14ac:dyDescent="0.2">
      <c r="B243" s="85"/>
      <c r="C243" s="86"/>
      <c r="D243" s="86"/>
      <c r="E243" s="86"/>
      <c r="F243" s="86"/>
      <c r="G243" s="86"/>
      <c r="H243" s="86"/>
      <c r="I243" s="86"/>
      <c r="J243" s="86"/>
      <c r="K243" s="93" t="s">
        <v>112301</v>
      </c>
      <c r="L243" s="88" t="s">
        <v>113131</v>
      </c>
      <c r="M243" s="89" t="s">
        <v>113530</v>
      </c>
      <c r="N243" s="90">
        <v>45672</v>
      </c>
      <c r="O243" s="90" t="s">
        <v>113060</v>
      </c>
      <c r="P243" s="91" t="s">
        <v>113022</v>
      </c>
      <c r="Q243" s="91" t="s">
        <v>113038</v>
      </c>
      <c r="R243" s="301">
        <v>6000000000</v>
      </c>
      <c r="S243" s="528">
        <f>6000000000-714810000+218250000-20596726-105210290.64-19588528.82-17000000</f>
        <v>5341044454.54</v>
      </c>
      <c r="T243" s="430">
        <f>+R243-S243</f>
        <v>658955545.46000004</v>
      </c>
      <c r="U243" s="93" t="s">
        <v>106081</v>
      </c>
      <c r="V243" s="124"/>
      <c r="W243" s="93" t="s">
        <v>113000</v>
      </c>
      <c r="X243" s="555"/>
      <c r="Y243" s="555"/>
      <c r="Z243" s="555"/>
      <c r="AA243" s="555"/>
      <c r="AB243" s="555"/>
      <c r="AC243" s="555"/>
      <c r="AD243" s="555"/>
      <c r="AE243" s="555"/>
      <c r="AF243" s="555"/>
      <c r="AG243" s="555"/>
      <c r="AH243" s="555"/>
      <c r="AI243" s="555"/>
      <c r="AJ243" s="548">
        <v>0</v>
      </c>
    </row>
    <row r="244" spans="2:36" ht="88.5" customHeight="1" x14ac:dyDescent="0.2">
      <c r="B244" s="85"/>
      <c r="C244" s="86"/>
      <c r="D244" s="86"/>
      <c r="E244" s="86"/>
      <c r="F244" s="86"/>
      <c r="G244" s="86"/>
      <c r="H244" s="86"/>
      <c r="I244" s="86"/>
      <c r="J244" s="86"/>
      <c r="K244" s="93" t="s">
        <v>112301</v>
      </c>
      <c r="L244" s="88" t="s">
        <v>113133</v>
      </c>
      <c r="M244" s="89" t="s">
        <v>113868</v>
      </c>
      <c r="N244" s="90"/>
      <c r="O244" s="90"/>
      <c r="P244" s="91"/>
      <c r="Q244" s="91"/>
      <c r="R244" s="301">
        <v>318240000</v>
      </c>
      <c r="S244" s="587">
        <f>318240000+12613184+88204927.27+11822374.43+9970000+37600000+51070000</f>
        <v>529520485.69999999</v>
      </c>
      <c r="T244" s="430">
        <v>0</v>
      </c>
      <c r="U244" s="93" t="s">
        <v>106081</v>
      </c>
      <c r="V244" s="124"/>
      <c r="W244" s="93" t="s">
        <v>113000</v>
      </c>
      <c r="X244" s="555"/>
      <c r="Y244" s="555"/>
      <c r="Z244" s="555"/>
      <c r="AA244" s="555"/>
      <c r="AB244" s="555"/>
      <c r="AC244" s="555"/>
      <c r="AD244" s="555"/>
      <c r="AE244" s="555"/>
      <c r="AF244" s="555"/>
      <c r="AG244" s="555"/>
      <c r="AH244" s="555"/>
      <c r="AI244" s="555"/>
      <c r="AJ244" s="548">
        <v>0</v>
      </c>
    </row>
    <row r="245" spans="2:36" ht="107.25" customHeight="1" x14ac:dyDescent="0.2">
      <c r="B245" s="85"/>
      <c r="C245" s="86"/>
      <c r="D245" s="86"/>
      <c r="E245" s="86"/>
      <c r="F245" s="86"/>
      <c r="G245" s="86"/>
      <c r="H245" s="86"/>
      <c r="I245" s="86"/>
      <c r="J245" s="86"/>
      <c r="K245" s="93" t="s">
        <v>112301</v>
      </c>
      <c r="L245" s="88" t="s">
        <v>113133</v>
      </c>
      <c r="M245" s="89" t="s">
        <v>113857</v>
      </c>
      <c r="N245" s="90">
        <v>45838</v>
      </c>
      <c r="O245" s="90" t="s">
        <v>112997</v>
      </c>
      <c r="P245" s="91" t="s">
        <v>113007</v>
      </c>
      <c r="Q245" s="91" t="s">
        <v>113069</v>
      </c>
      <c r="R245" s="301">
        <v>0</v>
      </c>
      <c r="S245" s="586">
        <f>159120000+11400000-51070000</f>
        <v>119450000</v>
      </c>
      <c r="T245" s="430"/>
      <c r="U245" s="93" t="s">
        <v>105533</v>
      </c>
      <c r="V245" s="92">
        <f>CEILING(((R245/4*8)*1.05),10000)</f>
        <v>0</v>
      </c>
      <c r="W245" s="93" t="s">
        <v>113000</v>
      </c>
      <c r="X245" s="548"/>
      <c r="Y245" s="548"/>
      <c r="Z245" s="548"/>
      <c r="AA245" s="548"/>
      <c r="AB245" s="548"/>
      <c r="AC245" s="548"/>
      <c r="AD245" s="548"/>
      <c r="AE245" s="548"/>
      <c r="AF245" s="548"/>
      <c r="AG245" s="548"/>
      <c r="AH245" s="548"/>
      <c r="AI245" s="548"/>
      <c r="AJ245" s="548">
        <v>0</v>
      </c>
    </row>
    <row r="246" spans="2:36" ht="90" x14ac:dyDescent="0.2">
      <c r="B246" s="85"/>
      <c r="C246" s="86"/>
      <c r="D246" s="86"/>
      <c r="E246" s="86"/>
      <c r="F246" s="86"/>
      <c r="G246" s="86"/>
      <c r="H246" s="86"/>
      <c r="I246" s="86"/>
      <c r="J246" s="86"/>
      <c r="K246" s="93" t="s">
        <v>112301</v>
      </c>
      <c r="L246" s="88">
        <v>72154100</v>
      </c>
      <c r="M246" s="89" t="s">
        <v>113732</v>
      </c>
      <c r="N246" s="90"/>
      <c r="O246" s="90"/>
      <c r="P246" s="91"/>
      <c r="Q246" s="90"/>
      <c r="R246" s="301">
        <v>363200000</v>
      </c>
      <c r="S246" s="587">
        <f>363200000+90800000+31800000</f>
        <v>485800000</v>
      </c>
      <c r="T246" s="430">
        <v>0</v>
      </c>
      <c r="U246" s="93" t="s">
        <v>106081</v>
      </c>
      <c r="V246" s="94"/>
      <c r="W246" s="93" t="s">
        <v>113000</v>
      </c>
      <c r="X246" s="555"/>
      <c r="Y246" s="555"/>
      <c r="Z246" s="555"/>
      <c r="AA246" s="555"/>
      <c r="AB246" s="555"/>
      <c r="AC246" s="555"/>
      <c r="AD246" s="555"/>
      <c r="AE246" s="555"/>
      <c r="AF246" s="555"/>
      <c r="AG246" s="555"/>
      <c r="AH246" s="555"/>
      <c r="AI246" s="555"/>
      <c r="AJ246" s="548">
        <v>0</v>
      </c>
    </row>
    <row r="247" spans="2:36" ht="90" x14ac:dyDescent="0.2">
      <c r="B247" s="85"/>
      <c r="C247" s="86"/>
      <c r="D247" s="86"/>
      <c r="E247" s="86"/>
      <c r="F247" s="86"/>
      <c r="G247" s="86"/>
      <c r="H247" s="86"/>
      <c r="I247" s="86"/>
      <c r="J247" s="86"/>
      <c r="K247" s="93" t="s">
        <v>112301</v>
      </c>
      <c r="L247" s="88">
        <v>72154100</v>
      </c>
      <c r="M247" s="89" t="s">
        <v>113733</v>
      </c>
      <c r="N247" s="90">
        <v>45838</v>
      </c>
      <c r="O247" s="90" t="s">
        <v>112997</v>
      </c>
      <c r="P247" s="91" t="s">
        <v>113007</v>
      </c>
      <c r="Q247" s="91" t="s">
        <v>113069</v>
      </c>
      <c r="R247" s="301">
        <v>0</v>
      </c>
      <c r="S247" s="588">
        <f>181600000-90800000</f>
        <v>90800000</v>
      </c>
      <c r="T247" s="430">
        <v>0</v>
      </c>
      <c r="U247" s="93" t="s">
        <v>105533</v>
      </c>
      <c r="V247" s="92">
        <f>CEILING(((R247/4*8)*1.05),10000)</f>
        <v>0</v>
      </c>
      <c r="W247" s="93" t="s">
        <v>113000</v>
      </c>
      <c r="X247" s="548"/>
      <c r="Y247" s="548"/>
      <c r="Z247" s="548"/>
      <c r="AA247" s="548"/>
      <c r="AB247" s="548"/>
      <c r="AC247" s="548"/>
      <c r="AD247" s="548"/>
      <c r="AE247" s="548"/>
      <c r="AF247" s="548"/>
      <c r="AG247" s="548"/>
      <c r="AH247" s="548"/>
      <c r="AI247" s="548"/>
      <c r="AJ247" s="548">
        <v>0</v>
      </c>
    </row>
    <row r="248" spans="2:36" ht="45" x14ac:dyDescent="0.2">
      <c r="B248" s="85"/>
      <c r="C248" s="86"/>
      <c r="D248" s="86"/>
      <c r="E248" s="86"/>
      <c r="F248" s="86"/>
      <c r="G248" s="86"/>
      <c r="H248" s="86"/>
      <c r="I248" s="86"/>
      <c r="J248" s="86"/>
      <c r="K248" s="93" t="s">
        <v>112301</v>
      </c>
      <c r="L248" s="88" t="s">
        <v>113111</v>
      </c>
      <c r="M248" s="89" t="s">
        <v>113112</v>
      </c>
      <c r="N248" s="90">
        <v>45868</v>
      </c>
      <c r="O248" s="90" t="s">
        <v>113010</v>
      </c>
      <c r="P248" s="127" t="s">
        <v>112998</v>
      </c>
      <c r="Q248" s="90" t="s">
        <v>113052</v>
      </c>
      <c r="R248" s="455">
        <v>0</v>
      </c>
      <c r="S248" s="435">
        <v>27090000</v>
      </c>
      <c r="T248" s="435">
        <v>0</v>
      </c>
      <c r="U248" s="93" t="s">
        <v>106081</v>
      </c>
      <c r="V248" s="136"/>
      <c r="W248" s="93" t="s">
        <v>113000</v>
      </c>
      <c r="X248" s="554"/>
      <c r="Y248" s="554"/>
      <c r="Z248" s="554"/>
      <c r="AA248" s="554"/>
      <c r="AB248" s="554"/>
      <c r="AC248" s="554"/>
      <c r="AD248" s="554"/>
      <c r="AE248" s="554"/>
      <c r="AF248" s="554"/>
      <c r="AG248" s="554"/>
      <c r="AH248" s="554"/>
      <c r="AI248" s="554"/>
      <c r="AJ248" s="548">
        <v>0</v>
      </c>
    </row>
    <row r="249" spans="2:36" ht="60" x14ac:dyDescent="0.2">
      <c r="B249" s="85"/>
      <c r="C249" s="86"/>
      <c r="D249" s="86"/>
      <c r="E249" s="86"/>
      <c r="F249" s="86"/>
      <c r="G249" s="86"/>
      <c r="H249" s="86"/>
      <c r="I249" s="86"/>
      <c r="J249" s="86"/>
      <c r="K249" s="93" t="s">
        <v>112301</v>
      </c>
      <c r="L249" s="88">
        <v>72154100</v>
      </c>
      <c r="M249" s="89" t="s">
        <v>113734</v>
      </c>
      <c r="N249" s="90">
        <v>45868</v>
      </c>
      <c r="O249" s="90" t="s">
        <v>113010</v>
      </c>
      <c r="P249" s="127" t="s">
        <v>112998</v>
      </c>
      <c r="Q249" s="90" t="s">
        <v>113052</v>
      </c>
      <c r="R249" s="455">
        <v>0</v>
      </c>
      <c r="S249" s="588">
        <v>0</v>
      </c>
      <c r="T249" s="430">
        <v>0</v>
      </c>
      <c r="U249" s="181" t="s">
        <v>106081</v>
      </c>
      <c r="V249" s="179"/>
      <c r="W249" s="93" t="s">
        <v>113000</v>
      </c>
      <c r="X249" s="548"/>
      <c r="Y249" s="548"/>
      <c r="Z249" s="548"/>
      <c r="AA249" s="548"/>
      <c r="AB249" s="548"/>
      <c r="AC249" s="548"/>
      <c r="AD249" s="548"/>
      <c r="AE249" s="548"/>
      <c r="AF249" s="548"/>
      <c r="AG249" s="548"/>
      <c r="AH249" s="548"/>
      <c r="AI249" s="548"/>
      <c r="AJ249" s="548">
        <v>0</v>
      </c>
    </row>
    <row r="250" spans="2:36" x14ac:dyDescent="0.2">
      <c r="B250" s="77" t="s">
        <v>105516</v>
      </c>
      <c r="C250" s="77" t="s">
        <v>105924</v>
      </c>
      <c r="D250" s="77" t="s">
        <v>105520</v>
      </c>
      <c r="E250" s="77" t="s">
        <v>105573</v>
      </c>
      <c r="F250" s="77" t="s">
        <v>105544</v>
      </c>
      <c r="G250" s="77" t="s">
        <v>105541</v>
      </c>
      <c r="H250" s="77" t="s">
        <v>106100</v>
      </c>
      <c r="I250" s="77"/>
      <c r="J250" s="375"/>
      <c r="K250" s="77"/>
      <c r="L250" s="395"/>
      <c r="M250" s="79" t="s">
        <v>106813</v>
      </c>
      <c r="N250" s="80"/>
      <c r="O250" s="80"/>
      <c r="P250" s="81"/>
      <c r="Q250" s="81"/>
      <c r="R250" s="82">
        <f>SUM(R251:R257)</f>
        <v>218340000</v>
      </c>
      <c r="S250" s="82">
        <f>SUM(S251:S257)</f>
        <v>135740000</v>
      </c>
      <c r="T250" s="82">
        <f>SUM(T251:T257)</f>
        <v>0</v>
      </c>
      <c r="U250" s="83"/>
      <c r="V250" s="83"/>
      <c r="W250" s="118"/>
      <c r="X250" s="82">
        <f t="shared" ref="X250:Y250" si="241">SUM(X251:X257)</f>
        <v>0</v>
      </c>
      <c r="Y250" s="82">
        <f t="shared" si="241"/>
        <v>0</v>
      </c>
      <c r="Z250" s="82">
        <f t="shared" ref="Z250:AC250" si="242">SUM(Z251:Z257)</f>
        <v>0</v>
      </c>
      <c r="AA250" s="82">
        <f t="shared" si="242"/>
        <v>0</v>
      </c>
      <c r="AB250" s="82">
        <f t="shared" si="242"/>
        <v>0</v>
      </c>
      <c r="AC250" s="82">
        <f t="shared" si="242"/>
        <v>0</v>
      </c>
      <c r="AD250" s="82">
        <f t="shared" ref="AD250:AI250" si="243">SUM(AD251:AD257)</f>
        <v>0</v>
      </c>
      <c r="AE250" s="82">
        <f t="shared" si="243"/>
        <v>0</v>
      </c>
      <c r="AF250" s="82">
        <f t="shared" si="243"/>
        <v>0</v>
      </c>
      <c r="AG250" s="82">
        <f t="shared" si="243"/>
        <v>0</v>
      </c>
      <c r="AH250" s="82">
        <f t="shared" si="243"/>
        <v>0</v>
      </c>
      <c r="AI250" s="82">
        <f t="shared" si="243"/>
        <v>0</v>
      </c>
      <c r="AJ250" s="548">
        <v>0</v>
      </c>
    </row>
    <row r="251" spans="2:36" ht="45" x14ac:dyDescent="0.2">
      <c r="B251" s="85"/>
      <c r="C251" s="86"/>
      <c r="D251" s="86"/>
      <c r="E251" s="86"/>
      <c r="F251" s="86"/>
      <c r="G251" s="86"/>
      <c r="H251" s="86"/>
      <c r="I251" s="86"/>
      <c r="J251" s="86"/>
      <c r="K251" s="93" t="s">
        <v>112301</v>
      </c>
      <c r="L251" s="52">
        <v>72101500</v>
      </c>
      <c r="M251" s="99" t="s">
        <v>113798</v>
      </c>
      <c r="N251" s="90">
        <v>45667</v>
      </c>
      <c r="O251" s="90" t="s">
        <v>113060</v>
      </c>
      <c r="P251" s="91" t="s">
        <v>113011</v>
      </c>
      <c r="Q251" s="91" t="s">
        <v>113053</v>
      </c>
      <c r="R251" s="522">
        <v>31570000</v>
      </c>
      <c r="S251" s="528">
        <v>31570000</v>
      </c>
      <c r="T251" s="430">
        <v>0</v>
      </c>
      <c r="U251" s="93" t="s">
        <v>106081</v>
      </c>
      <c r="V251" s="182"/>
      <c r="W251" s="93" t="s">
        <v>113000</v>
      </c>
      <c r="X251" s="555"/>
      <c r="Y251" s="555"/>
      <c r="Z251" s="555"/>
      <c r="AA251" s="555"/>
      <c r="AB251" s="555"/>
      <c r="AC251" s="555"/>
      <c r="AD251" s="555"/>
      <c r="AE251" s="555"/>
      <c r="AF251" s="555"/>
      <c r="AG251" s="555"/>
      <c r="AH251" s="555"/>
      <c r="AI251" s="555"/>
      <c r="AJ251" s="548">
        <v>0</v>
      </c>
    </row>
    <row r="252" spans="2:36" ht="61.5" customHeight="1" x14ac:dyDescent="0.2">
      <c r="B252" s="85"/>
      <c r="C252" s="86"/>
      <c r="D252" s="86"/>
      <c r="E252" s="86"/>
      <c r="F252" s="86"/>
      <c r="G252" s="86"/>
      <c r="H252" s="86"/>
      <c r="I252" s="86"/>
      <c r="J252" s="86"/>
      <c r="K252" s="93" t="s">
        <v>112301</v>
      </c>
      <c r="L252" s="52">
        <v>72101500</v>
      </c>
      <c r="M252" s="99" t="s">
        <v>113750</v>
      </c>
      <c r="N252" s="90">
        <v>45667</v>
      </c>
      <c r="O252" s="90" t="s">
        <v>113060</v>
      </c>
      <c r="P252" s="91" t="s">
        <v>113011</v>
      </c>
      <c r="Q252" s="91" t="s">
        <v>113053</v>
      </c>
      <c r="R252" s="522">
        <v>35200000</v>
      </c>
      <c r="S252" s="528">
        <v>35200000</v>
      </c>
      <c r="T252" s="430"/>
      <c r="U252" s="93"/>
      <c r="V252" s="182"/>
      <c r="W252" s="93" t="s">
        <v>113000</v>
      </c>
      <c r="X252" s="555"/>
      <c r="Y252" s="555"/>
      <c r="Z252" s="555"/>
      <c r="AA252" s="555"/>
      <c r="AB252" s="555"/>
      <c r="AC252" s="555"/>
      <c r="AD252" s="555"/>
      <c r="AE252" s="555"/>
      <c r="AF252" s="555"/>
      <c r="AG252" s="555"/>
      <c r="AH252" s="555"/>
      <c r="AI252" s="555"/>
      <c r="AJ252" s="548">
        <v>0</v>
      </c>
    </row>
    <row r="253" spans="2:36" ht="59.25" customHeight="1" x14ac:dyDescent="0.2">
      <c r="B253" s="85"/>
      <c r="C253" s="86"/>
      <c r="D253" s="86"/>
      <c r="E253" s="86"/>
      <c r="F253" s="86"/>
      <c r="G253" s="86"/>
      <c r="H253" s="86"/>
      <c r="I253" s="86"/>
      <c r="J253" s="86"/>
      <c r="K253" s="93" t="s">
        <v>112301</v>
      </c>
      <c r="L253" s="88">
        <v>72151500</v>
      </c>
      <c r="M253" s="89" t="s">
        <v>113799</v>
      </c>
      <c r="N253" s="90">
        <v>45667</v>
      </c>
      <c r="O253" s="90" t="s">
        <v>113060</v>
      </c>
      <c r="P253" s="91" t="s">
        <v>113011</v>
      </c>
      <c r="Q253" s="91" t="s">
        <v>113053</v>
      </c>
      <c r="R253" s="522">
        <v>31570000</v>
      </c>
      <c r="S253" s="528">
        <v>31570000</v>
      </c>
      <c r="T253" s="430">
        <v>0</v>
      </c>
      <c r="U253" s="93" t="s">
        <v>106081</v>
      </c>
      <c r="V253" s="182"/>
      <c r="W253" s="93" t="s">
        <v>113000</v>
      </c>
      <c r="X253" s="555"/>
      <c r="Y253" s="555"/>
      <c r="Z253" s="555"/>
      <c r="AA253" s="555"/>
      <c r="AB253" s="555"/>
      <c r="AC253" s="555"/>
      <c r="AD253" s="555"/>
      <c r="AE253" s="555"/>
      <c r="AF253" s="555"/>
      <c r="AG253" s="555"/>
      <c r="AH253" s="555"/>
      <c r="AI253" s="555"/>
      <c r="AJ253" s="548">
        <v>0</v>
      </c>
    </row>
    <row r="254" spans="2:36" ht="60" x14ac:dyDescent="0.2">
      <c r="B254" s="85"/>
      <c r="C254" s="86"/>
      <c r="D254" s="86"/>
      <c r="E254" s="86"/>
      <c r="F254" s="86"/>
      <c r="G254" s="86"/>
      <c r="H254" s="86"/>
      <c r="I254" s="86"/>
      <c r="J254" s="86"/>
      <c r="K254" s="93" t="s">
        <v>112301</v>
      </c>
      <c r="L254" s="88" t="s">
        <v>113137</v>
      </c>
      <c r="M254" s="99" t="s">
        <v>113790</v>
      </c>
      <c r="N254" s="90">
        <v>45705</v>
      </c>
      <c r="O254" s="90" t="s">
        <v>113001</v>
      </c>
      <c r="P254" s="91" t="s">
        <v>113022</v>
      </c>
      <c r="Q254" s="91" t="s">
        <v>113096</v>
      </c>
      <c r="R254" s="301">
        <v>120000000</v>
      </c>
      <c r="S254" s="528">
        <f>120000000-120000000</f>
        <v>0</v>
      </c>
      <c r="T254" s="430">
        <v>0</v>
      </c>
      <c r="U254" s="93"/>
      <c r="V254" s="182"/>
      <c r="W254" s="93" t="s">
        <v>113003</v>
      </c>
      <c r="X254" s="555"/>
      <c r="Y254" s="555"/>
      <c r="Z254" s="555"/>
      <c r="AA254" s="555"/>
      <c r="AB254" s="555"/>
      <c r="AC254" s="555"/>
      <c r="AD254" s="555"/>
      <c r="AE254" s="555"/>
      <c r="AF254" s="555"/>
      <c r="AG254" s="555"/>
      <c r="AH254" s="555"/>
      <c r="AI254" s="555"/>
      <c r="AJ254" s="548">
        <v>0</v>
      </c>
    </row>
    <row r="255" spans="2:36" ht="45" x14ac:dyDescent="0.2">
      <c r="B255" s="85"/>
      <c r="C255" s="86"/>
      <c r="D255" s="86"/>
      <c r="E255" s="86"/>
      <c r="F255" s="86"/>
      <c r="G255" s="86"/>
      <c r="H255" s="86"/>
      <c r="I255" s="86"/>
      <c r="J255" s="86"/>
      <c r="K255" s="93" t="s">
        <v>112301</v>
      </c>
      <c r="L255" s="88" t="s">
        <v>113390</v>
      </c>
      <c r="M255" s="89" t="s">
        <v>113735</v>
      </c>
      <c r="N255" s="90">
        <v>45552</v>
      </c>
      <c r="O255" s="90" t="s">
        <v>113078</v>
      </c>
      <c r="P255" s="91" t="s">
        <v>113079</v>
      </c>
      <c r="Q255" s="91" t="s">
        <v>113052</v>
      </c>
      <c r="R255" s="92"/>
      <c r="S255" s="528"/>
      <c r="T255" s="430">
        <v>0</v>
      </c>
      <c r="U255" s="93"/>
      <c r="V255" s="182"/>
      <c r="W255" s="93"/>
      <c r="X255" s="555"/>
      <c r="Y255" s="555"/>
      <c r="Z255" s="555"/>
      <c r="AA255" s="555"/>
      <c r="AB255" s="555"/>
      <c r="AC255" s="555"/>
      <c r="AD255" s="555"/>
      <c r="AE255" s="555"/>
      <c r="AF255" s="555"/>
      <c r="AG255" s="555"/>
      <c r="AH255" s="555"/>
      <c r="AI255" s="555"/>
      <c r="AJ255" s="548">
        <v>0</v>
      </c>
    </row>
    <row r="256" spans="2:36" ht="45" x14ac:dyDescent="0.2">
      <c r="B256" s="85"/>
      <c r="C256" s="86"/>
      <c r="D256" s="86"/>
      <c r="E256" s="86"/>
      <c r="F256" s="86"/>
      <c r="G256" s="86"/>
      <c r="H256" s="86"/>
      <c r="I256" s="86"/>
      <c r="J256" s="86"/>
      <c r="K256" s="93" t="s">
        <v>112301</v>
      </c>
      <c r="L256" s="88" t="s">
        <v>113390</v>
      </c>
      <c r="M256" s="89" t="s">
        <v>113845</v>
      </c>
      <c r="N256" s="90">
        <v>45365</v>
      </c>
      <c r="O256" s="90" t="s">
        <v>113001</v>
      </c>
      <c r="P256" s="91" t="s">
        <v>112998</v>
      </c>
      <c r="Q256" s="91" t="s">
        <v>113052</v>
      </c>
      <c r="R256" s="92"/>
      <c r="S256" s="528">
        <v>17000000</v>
      </c>
      <c r="T256" s="430">
        <v>0</v>
      </c>
      <c r="U256" s="93"/>
      <c r="V256" s="182"/>
      <c r="W256" s="93" t="s">
        <v>113000</v>
      </c>
      <c r="X256" s="555"/>
      <c r="Y256" s="555"/>
      <c r="Z256" s="555"/>
      <c r="AA256" s="555"/>
      <c r="AB256" s="555"/>
      <c r="AC256" s="555"/>
      <c r="AD256" s="555"/>
      <c r="AE256" s="555"/>
      <c r="AF256" s="555"/>
      <c r="AG256" s="555"/>
      <c r="AH256" s="555"/>
      <c r="AI256" s="555"/>
      <c r="AJ256" s="548">
        <v>0</v>
      </c>
    </row>
    <row r="257" spans="2:36" ht="45" x14ac:dyDescent="0.2">
      <c r="B257" s="85"/>
      <c r="C257" s="86"/>
      <c r="D257" s="86"/>
      <c r="E257" s="86"/>
      <c r="F257" s="86"/>
      <c r="G257" s="86"/>
      <c r="H257" s="86"/>
      <c r="I257" s="86"/>
      <c r="J257" s="86"/>
      <c r="K257" s="93" t="s">
        <v>112301</v>
      </c>
      <c r="L257" s="88">
        <v>72103302</v>
      </c>
      <c r="M257" s="89" t="s">
        <v>113838</v>
      </c>
      <c r="N257" s="90">
        <v>45733</v>
      </c>
      <c r="O257" s="90" t="s">
        <v>113006</v>
      </c>
      <c r="P257" s="91" t="s">
        <v>113002</v>
      </c>
      <c r="Q257" s="91" t="s">
        <v>113095</v>
      </c>
      <c r="R257" s="92"/>
      <c r="S257" s="528">
        <v>20400000</v>
      </c>
      <c r="T257" s="430">
        <v>0</v>
      </c>
      <c r="U257" s="93"/>
      <c r="V257" s="182"/>
      <c r="W257" s="93" t="s">
        <v>113003</v>
      </c>
      <c r="X257" s="555"/>
      <c r="Y257" s="555"/>
      <c r="Z257" s="555"/>
      <c r="AA257" s="555"/>
      <c r="AB257" s="555"/>
      <c r="AC257" s="555"/>
      <c r="AD257" s="555"/>
      <c r="AE257" s="555"/>
      <c r="AF257" s="555"/>
      <c r="AG257" s="555"/>
      <c r="AH257" s="555"/>
      <c r="AI257" s="555"/>
      <c r="AJ257" s="548">
        <v>0</v>
      </c>
    </row>
    <row r="258" spans="2:36" ht="60" x14ac:dyDescent="0.2">
      <c r="B258" s="85"/>
      <c r="C258" s="86"/>
      <c r="D258" s="86"/>
      <c r="E258" s="86"/>
      <c r="F258" s="86"/>
      <c r="G258" s="86"/>
      <c r="H258" s="86"/>
      <c r="I258" s="86"/>
      <c r="J258" s="86"/>
      <c r="K258" s="93" t="s">
        <v>112301</v>
      </c>
      <c r="L258" s="88">
        <v>72101500</v>
      </c>
      <c r="M258" s="89" t="s">
        <v>113865</v>
      </c>
      <c r="N258" s="89">
        <v>45810</v>
      </c>
      <c r="O258" s="89" t="s">
        <v>113208</v>
      </c>
      <c r="P258" s="89" t="s">
        <v>113155</v>
      </c>
      <c r="Q258" s="89" t="s">
        <v>113095</v>
      </c>
      <c r="R258" s="89"/>
      <c r="S258" s="528">
        <f>26970000-9970000</f>
        <v>17000000</v>
      </c>
      <c r="T258" s="430"/>
      <c r="U258" s="93"/>
      <c r="V258" s="182"/>
      <c r="W258" s="93" t="s">
        <v>113000</v>
      </c>
      <c r="X258" s="555"/>
      <c r="Y258" s="555"/>
      <c r="Z258" s="555"/>
      <c r="AA258" s="555"/>
      <c r="AB258" s="555"/>
      <c r="AC258" s="555"/>
      <c r="AD258" s="555"/>
      <c r="AE258" s="555"/>
      <c r="AF258" s="555"/>
      <c r="AG258" s="555"/>
      <c r="AH258" s="555"/>
      <c r="AI258" s="555"/>
      <c r="AJ258" s="548"/>
    </row>
    <row r="259" spans="2:36" x14ac:dyDescent="0.2">
      <c r="B259" s="77" t="s">
        <v>105516</v>
      </c>
      <c r="C259" s="77" t="s">
        <v>105924</v>
      </c>
      <c r="D259" s="77" t="s">
        <v>105520</v>
      </c>
      <c r="E259" s="77" t="s">
        <v>105573</v>
      </c>
      <c r="F259" s="77" t="s">
        <v>105544</v>
      </c>
      <c r="G259" s="77" t="s">
        <v>105541</v>
      </c>
      <c r="H259" s="77" t="s">
        <v>106103</v>
      </c>
      <c r="I259" s="77"/>
      <c r="J259" s="375"/>
      <c r="K259" s="77"/>
      <c r="L259" s="395"/>
      <c r="M259" s="79" t="s">
        <v>106815</v>
      </c>
      <c r="N259" s="80"/>
      <c r="O259" s="80"/>
      <c r="P259" s="81"/>
      <c r="Q259" s="81"/>
      <c r="R259" s="82">
        <f>SUM(R260:R264)</f>
        <v>1618661000</v>
      </c>
      <c r="S259" s="82">
        <f>SUM(S260:S264)</f>
        <v>1585161000</v>
      </c>
      <c r="T259" s="82">
        <f>SUM(T260:T264)</f>
        <v>0</v>
      </c>
      <c r="U259" s="83"/>
      <c r="V259" s="83"/>
      <c r="W259" s="118"/>
      <c r="X259" s="82">
        <f t="shared" ref="X259:Y259" si="244">SUM(X260:X264)</f>
        <v>0</v>
      </c>
      <c r="Y259" s="82">
        <f t="shared" si="244"/>
        <v>0</v>
      </c>
      <c r="Z259" s="82">
        <f t="shared" ref="Z259:AC259" si="245">SUM(Z260:Z264)</f>
        <v>0</v>
      </c>
      <c r="AA259" s="82">
        <f t="shared" si="245"/>
        <v>0</v>
      </c>
      <c r="AB259" s="82">
        <f t="shared" si="245"/>
        <v>0</v>
      </c>
      <c r="AC259" s="82">
        <f t="shared" si="245"/>
        <v>0</v>
      </c>
      <c r="AD259" s="82">
        <f t="shared" ref="AD259:AI259" si="246">SUM(AD260:AD264)</f>
        <v>0</v>
      </c>
      <c r="AE259" s="82">
        <f t="shared" si="246"/>
        <v>0</v>
      </c>
      <c r="AF259" s="82">
        <f t="shared" si="246"/>
        <v>0</v>
      </c>
      <c r="AG259" s="82">
        <f t="shared" si="246"/>
        <v>0</v>
      </c>
      <c r="AH259" s="82">
        <f t="shared" si="246"/>
        <v>0</v>
      </c>
      <c r="AI259" s="82">
        <f t="shared" si="246"/>
        <v>0</v>
      </c>
      <c r="AJ259" s="548">
        <v>0</v>
      </c>
    </row>
    <row r="260" spans="2:36" ht="60" x14ac:dyDescent="0.2">
      <c r="B260" s="85"/>
      <c r="C260" s="86"/>
      <c r="D260" s="86"/>
      <c r="E260" s="86"/>
      <c r="F260" s="86"/>
      <c r="G260" s="86"/>
      <c r="H260" s="86"/>
      <c r="I260" s="86"/>
      <c r="J260" s="86"/>
      <c r="K260" s="93" t="s">
        <v>112301</v>
      </c>
      <c r="L260" s="52">
        <v>72101500</v>
      </c>
      <c r="M260" s="99" t="s">
        <v>113736</v>
      </c>
      <c r="N260" s="90">
        <v>45667</v>
      </c>
      <c r="O260" s="90" t="s">
        <v>113060</v>
      </c>
      <c r="P260" s="91" t="s">
        <v>113011</v>
      </c>
      <c r="Q260" s="91" t="s">
        <v>113053</v>
      </c>
      <c r="R260" s="301">
        <v>291500000</v>
      </c>
      <c r="S260" s="528">
        <v>291500000</v>
      </c>
      <c r="T260" s="430">
        <v>0</v>
      </c>
      <c r="U260" s="93" t="s">
        <v>106081</v>
      </c>
      <c r="V260" s="182"/>
      <c r="W260" s="93" t="s">
        <v>113000</v>
      </c>
      <c r="X260" s="555"/>
      <c r="Y260" s="555"/>
      <c r="Z260" s="555"/>
      <c r="AA260" s="555"/>
      <c r="AB260" s="555"/>
      <c r="AC260" s="555"/>
      <c r="AD260" s="555"/>
      <c r="AE260" s="555"/>
      <c r="AF260" s="555"/>
      <c r="AG260" s="555"/>
      <c r="AH260" s="555"/>
      <c r="AI260" s="555"/>
      <c r="AJ260" s="548">
        <v>0</v>
      </c>
    </row>
    <row r="261" spans="2:36" ht="45" x14ac:dyDescent="0.2">
      <c r="B261" s="85"/>
      <c r="C261" s="86"/>
      <c r="D261" s="86"/>
      <c r="E261" s="86"/>
      <c r="F261" s="86"/>
      <c r="G261" s="86"/>
      <c r="H261" s="86"/>
      <c r="I261" s="86"/>
      <c r="J261" s="86"/>
      <c r="K261" s="93" t="s">
        <v>112301</v>
      </c>
      <c r="L261" s="52">
        <v>72101500</v>
      </c>
      <c r="M261" s="99" t="s">
        <v>113698</v>
      </c>
      <c r="N261" s="90">
        <v>45667</v>
      </c>
      <c r="O261" s="90" t="s">
        <v>113060</v>
      </c>
      <c r="P261" s="91" t="s">
        <v>113011</v>
      </c>
      <c r="Q261" s="91" t="s">
        <v>113053</v>
      </c>
      <c r="R261" s="301">
        <v>91080000</v>
      </c>
      <c r="S261" s="528">
        <v>91080000</v>
      </c>
      <c r="T261" s="430">
        <v>0</v>
      </c>
      <c r="U261" s="93" t="s">
        <v>106081</v>
      </c>
      <c r="V261" s="182"/>
      <c r="W261" s="93" t="s">
        <v>113000</v>
      </c>
      <c r="X261" s="555"/>
      <c r="Y261" s="555"/>
      <c r="Z261" s="555"/>
      <c r="AA261" s="555"/>
      <c r="AB261" s="555"/>
      <c r="AC261" s="555"/>
      <c r="AD261" s="555"/>
      <c r="AE261" s="555"/>
      <c r="AF261" s="555"/>
      <c r="AG261" s="555"/>
      <c r="AH261" s="555"/>
      <c r="AI261" s="555"/>
      <c r="AJ261" s="548">
        <v>0</v>
      </c>
    </row>
    <row r="262" spans="2:36" ht="45" x14ac:dyDescent="0.2">
      <c r="B262" s="85"/>
      <c r="C262" s="86"/>
      <c r="D262" s="86"/>
      <c r="E262" s="86"/>
      <c r="F262" s="86"/>
      <c r="G262" s="86"/>
      <c r="H262" s="86"/>
      <c r="I262" s="86"/>
      <c r="J262" s="86"/>
      <c r="K262" s="93" t="s">
        <v>112301</v>
      </c>
      <c r="L262" s="88">
        <v>72101500</v>
      </c>
      <c r="M262" s="99" t="s">
        <v>113699</v>
      </c>
      <c r="N262" s="90">
        <v>45667</v>
      </c>
      <c r="O262" s="90" t="s">
        <v>113060</v>
      </c>
      <c r="P262" s="91" t="s">
        <v>113011</v>
      </c>
      <c r="Q262" s="91" t="s">
        <v>113053</v>
      </c>
      <c r="R262" s="301">
        <f>1080000000+77181000</f>
        <v>1157181000</v>
      </c>
      <c r="S262" s="528">
        <f>1157181000-20400000</f>
        <v>1136781000</v>
      </c>
      <c r="T262" s="520">
        <v>0</v>
      </c>
      <c r="U262" s="93" t="s">
        <v>106081</v>
      </c>
      <c r="V262" s="182"/>
      <c r="W262" s="93" t="s">
        <v>113000</v>
      </c>
      <c r="X262" s="555"/>
      <c r="Y262" s="555"/>
      <c r="Z262" s="555"/>
      <c r="AA262" s="555"/>
      <c r="AB262" s="555"/>
      <c r="AC262" s="555"/>
      <c r="AD262" s="555"/>
      <c r="AE262" s="555"/>
      <c r="AF262" s="555"/>
      <c r="AG262" s="555"/>
      <c r="AH262" s="555"/>
      <c r="AI262" s="555"/>
      <c r="AJ262" s="548">
        <v>0</v>
      </c>
    </row>
    <row r="263" spans="2:36" ht="45" x14ac:dyDescent="0.2">
      <c r="B263" s="85"/>
      <c r="C263" s="86"/>
      <c r="D263" s="86"/>
      <c r="E263" s="86"/>
      <c r="F263" s="86"/>
      <c r="G263" s="86"/>
      <c r="H263" s="86"/>
      <c r="I263" s="86"/>
      <c r="J263" s="86"/>
      <c r="K263" s="93" t="s">
        <v>112301</v>
      </c>
      <c r="L263" s="88">
        <v>72101500</v>
      </c>
      <c r="M263" s="99" t="s">
        <v>113858</v>
      </c>
      <c r="N263" s="90">
        <v>45703</v>
      </c>
      <c r="O263" s="90" t="s">
        <v>113037</v>
      </c>
      <c r="P263" s="91" t="s">
        <v>113002</v>
      </c>
      <c r="Q263" s="91" t="s">
        <v>113053</v>
      </c>
      <c r="R263" s="522">
        <v>22500000</v>
      </c>
      <c r="S263" s="528">
        <f>41250000-11400000-2880000-26970000</f>
        <v>0</v>
      </c>
      <c r="T263" s="430"/>
      <c r="U263" s="93" t="s">
        <v>106081</v>
      </c>
      <c r="V263" s="182"/>
      <c r="W263" s="93" t="s">
        <v>113000</v>
      </c>
      <c r="X263" s="555"/>
      <c r="Y263" s="555"/>
      <c r="Z263" s="555"/>
      <c r="AA263" s="555"/>
      <c r="AB263" s="555"/>
      <c r="AC263" s="555"/>
      <c r="AD263" s="555"/>
      <c r="AE263" s="555"/>
      <c r="AF263" s="555"/>
      <c r="AG263" s="555"/>
      <c r="AH263" s="555"/>
      <c r="AI263" s="555"/>
      <c r="AJ263" s="548">
        <v>0</v>
      </c>
    </row>
    <row r="264" spans="2:36" ht="45" x14ac:dyDescent="0.2">
      <c r="B264" s="85"/>
      <c r="C264" s="86"/>
      <c r="D264" s="86"/>
      <c r="E264" s="86"/>
      <c r="F264" s="86"/>
      <c r="G264" s="86"/>
      <c r="H264" s="86"/>
      <c r="I264" s="86"/>
      <c r="J264" s="86"/>
      <c r="K264" s="93" t="s">
        <v>112301</v>
      </c>
      <c r="L264" s="88">
        <v>72101500</v>
      </c>
      <c r="M264" s="89" t="s">
        <v>113701</v>
      </c>
      <c r="N264" s="90">
        <v>45703</v>
      </c>
      <c r="O264" s="90" t="s">
        <v>113037</v>
      </c>
      <c r="P264" s="91" t="s">
        <v>113002</v>
      </c>
      <c r="Q264" s="91" t="s">
        <v>113053</v>
      </c>
      <c r="R264" s="522">
        <v>56400000</v>
      </c>
      <c r="S264" s="528">
        <f>103400000-37600000</f>
        <v>65800000</v>
      </c>
      <c r="T264" s="430"/>
      <c r="U264" s="93" t="s">
        <v>106081</v>
      </c>
      <c r="V264" s="182"/>
      <c r="W264" s="93" t="s">
        <v>113000</v>
      </c>
      <c r="X264" s="555"/>
      <c r="Y264" s="555"/>
      <c r="Z264" s="555"/>
      <c r="AA264" s="555"/>
      <c r="AB264" s="555"/>
      <c r="AC264" s="555"/>
      <c r="AD264" s="555"/>
      <c r="AE264" s="555"/>
      <c r="AF264" s="555"/>
      <c r="AG264" s="555"/>
      <c r="AH264" s="555"/>
      <c r="AI264" s="555"/>
      <c r="AJ264" s="548">
        <v>0</v>
      </c>
    </row>
    <row r="265" spans="2:36" ht="45" x14ac:dyDescent="0.2">
      <c r="B265" s="183" t="s">
        <v>105516</v>
      </c>
      <c r="C265" s="183" t="s">
        <v>105924</v>
      </c>
      <c r="D265" s="183" t="s">
        <v>105520</v>
      </c>
      <c r="E265" s="183" t="s">
        <v>105573</v>
      </c>
      <c r="F265" s="183" t="s">
        <v>105547</v>
      </c>
      <c r="G265" s="183"/>
      <c r="H265" s="183"/>
      <c r="I265" s="183"/>
      <c r="J265" s="382"/>
      <c r="K265" s="297"/>
      <c r="L265" s="62"/>
      <c r="M265" s="63" t="s">
        <v>113221</v>
      </c>
      <c r="N265" s="64"/>
      <c r="O265" s="185"/>
      <c r="P265" s="65"/>
      <c r="Q265" s="65"/>
      <c r="R265" s="66">
        <f t="shared" ref="R265:S267" si="247">+R266</f>
        <v>23320000</v>
      </c>
      <c r="S265" s="66">
        <f t="shared" si="247"/>
        <v>23320000</v>
      </c>
      <c r="T265" s="66">
        <f>+T266</f>
        <v>0</v>
      </c>
      <c r="U265" s="67"/>
      <c r="V265" s="67"/>
      <c r="W265" s="248"/>
      <c r="X265" s="66">
        <f t="shared" ref="X265:AI267" si="248">+X266</f>
        <v>0</v>
      </c>
      <c r="Y265" s="66">
        <f t="shared" si="248"/>
        <v>0</v>
      </c>
      <c r="Z265" s="66">
        <f t="shared" si="248"/>
        <v>0</v>
      </c>
      <c r="AA265" s="66">
        <f t="shared" si="248"/>
        <v>0</v>
      </c>
      <c r="AB265" s="66">
        <f t="shared" si="248"/>
        <v>0</v>
      </c>
      <c r="AC265" s="66">
        <f t="shared" si="248"/>
        <v>0</v>
      </c>
      <c r="AD265" s="66">
        <f t="shared" si="248"/>
        <v>0</v>
      </c>
      <c r="AE265" s="66">
        <f t="shared" si="248"/>
        <v>0</v>
      </c>
      <c r="AF265" s="66">
        <f t="shared" si="248"/>
        <v>0</v>
      </c>
      <c r="AG265" s="66">
        <f t="shared" si="248"/>
        <v>0</v>
      </c>
      <c r="AH265" s="66">
        <f t="shared" si="248"/>
        <v>0</v>
      </c>
      <c r="AI265" s="66">
        <f t="shared" si="248"/>
        <v>0</v>
      </c>
      <c r="AJ265" s="548">
        <v>0</v>
      </c>
    </row>
    <row r="266" spans="2:36" x14ac:dyDescent="0.2">
      <c r="B266" s="316" t="s">
        <v>105516</v>
      </c>
      <c r="C266" s="316" t="s">
        <v>105924</v>
      </c>
      <c r="D266" s="316" t="s">
        <v>105520</v>
      </c>
      <c r="E266" s="316" t="s">
        <v>105573</v>
      </c>
      <c r="F266" s="316" t="s">
        <v>105547</v>
      </c>
      <c r="G266" s="316" t="s">
        <v>105550</v>
      </c>
      <c r="H266" s="186"/>
      <c r="I266" s="186"/>
      <c r="J266" s="383"/>
      <c r="K266" s="186"/>
      <c r="L266" s="166"/>
      <c r="M266" s="167" t="s">
        <v>106841</v>
      </c>
      <c r="N266" s="168"/>
      <c r="O266" s="168"/>
      <c r="P266" s="169"/>
      <c r="Q266" s="169"/>
      <c r="R266" s="170">
        <f t="shared" si="247"/>
        <v>23320000</v>
      </c>
      <c r="S266" s="170">
        <f t="shared" si="247"/>
        <v>23320000</v>
      </c>
      <c r="T266" s="170">
        <f>+T267</f>
        <v>0</v>
      </c>
      <c r="U266" s="171"/>
      <c r="V266" s="171"/>
      <c r="W266" s="165"/>
      <c r="X266" s="170">
        <f t="shared" si="248"/>
        <v>0</v>
      </c>
      <c r="Y266" s="170">
        <f t="shared" si="248"/>
        <v>0</v>
      </c>
      <c r="Z266" s="170">
        <f t="shared" si="248"/>
        <v>0</v>
      </c>
      <c r="AA266" s="170">
        <f t="shared" si="248"/>
        <v>0</v>
      </c>
      <c r="AB266" s="170">
        <f t="shared" si="248"/>
        <v>0</v>
      </c>
      <c r="AC266" s="170">
        <f t="shared" si="248"/>
        <v>0</v>
      </c>
      <c r="AD266" s="170">
        <f t="shared" si="248"/>
        <v>0</v>
      </c>
      <c r="AE266" s="170">
        <f t="shared" si="248"/>
        <v>0</v>
      </c>
      <c r="AF266" s="170">
        <f t="shared" si="248"/>
        <v>0</v>
      </c>
      <c r="AG266" s="170">
        <f t="shared" si="248"/>
        <v>0</v>
      </c>
      <c r="AH266" s="170">
        <f t="shared" si="248"/>
        <v>0</v>
      </c>
      <c r="AI266" s="170">
        <f t="shared" si="248"/>
        <v>0</v>
      </c>
      <c r="AJ266" s="548">
        <v>0</v>
      </c>
    </row>
    <row r="267" spans="2:36" x14ac:dyDescent="0.2">
      <c r="B267" s="78" t="s">
        <v>105516</v>
      </c>
      <c r="C267" s="78" t="s">
        <v>105924</v>
      </c>
      <c r="D267" s="78" t="s">
        <v>105520</v>
      </c>
      <c r="E267" s="78" t="s">
        <v>105573</v>
      </c>
      <c r="F267" s="78" t="s">
        <v>105547</v>
      </c>
      <c r="G267" s="78" t="s">
        <v>105550</v>
      </c>
      <c r="H267" s="78" t="s">
        <v>105520</v>
      </c>
      <c r="I267" s="78"/>
      <c r="J267" s="384"/>
      <c r="K267" s="78"/>
      <c r="L267" s="395"/>
      <c r="M267" s="79" t="s">
        <v>106843</v>
      </c>
      <c r="N267" s="80"/>
      <c r="O267" s="80"/>
      <c r="P267" s="81"/>
      <c r="Q267" s="81"/>
      <c r="R267" s="82">
        <f t="shared" si="247"/>
        <v>23320000</v>
      </c>
      <c r="S267" s="82">
        <f t="shared" si="247"/>
        <v>23320000</v>
      </c>
      <c r="T267" s="82">
        <f>+T268</f>
        <v>0</v>
      </c>
      <c r="U267" s="83"/>
      <c r="V267" s="83"/>
      <c r="W267" s="77"/>
      <c r="X267" s="82">
        <f t="shared" si="248"/>
        <v>0</v>
      </c>
      <c r="Y267" s="82">
        <f t="shared" si="248"/>
        <v>0</v>
      </c>
      <c r="Z267" s="82">
        <f t="shared" si="248"/>
        <v>0</v>
      </c>
      <c r="AA267" s="82">
        <f t="shared" si="248"/>
        <v>0</v>
      </c>
      <c r="AB267" s="82">
        <f t="shared" si="248"/>
        <v>0</v>
      </c>
      <c r="AC267" s="82">
        <f t="shared" si="248"/>
        <v>0</v>
      </c>
      <c r="AD267" s="82">
        <f t="shared" si="248"/>
        <v>0</v>
      </c>
      <c r="AE267" s="82">
        <f t="shared" si="248"/>
        <v>0</v>
      </c>
      <c r="AF267" s="82">
        <f t="shared" si="248"/>
        <v>0</v>
      </c>
      <c r="AG267" s="82">
        <f t="shared" si="248"/>
        <v>0</v>
      </c>
      <c r="AH267" s="82">
        <f t="shared" si="248"/>
        <v>0</v>
      </c>
      <c r="AI267" s="82">
        <f t="shared" si="248"/>
        <v>0</v>
      </c>
      <c r="AJ267" s="548">
        <v>0</v>
      </c>
    </row>
    <row r="268" spans="2:36" ht="30" x14ac:dyDescent="0.2">
      <c r="B268" s="85"/>
      <c r="C268" s="86"/>
      <c r="D268" s="86"/>
      <c r="E268" s="86"/>
      <c r="F268" s="86"/>
      <c r="G268" s="86"/>
      <c r="H268" s="86"/>
      <c r="I268" s="86"/>
      <c r="J268" s="86"/>
      <c r="K268" s="93" t="s">
        <v>112476</v>
      </c>
      <c r="L268" s="52">
        <v>78121600</v>
      </c>
      <c r="M268" s="99" t="s">
        <v>113826</v>
      </c>
      <c r="N268" s="90">
        <v>45667</v>
      </c>
      <c r="O268" s="90" t="s">
        <v>113060</v>
      </c>
      <c r="P268" s="91" t="s">
        <v>113011</v>
      </c>
      <c r="Q268" s="91" t="s">
        <v>113053</v>
      </c>
      <c r="R268" s="92">
        <v>23320000</v>
      </c>
      <c r="S268" s="528">
        <v>23320000</v>
      </c>
      <c r="T268" s="430">
        <v>0</v>
      </c>
      <c r="U268" s="128"/>
      <c r="V268" s="188"/>
      <c r="W268" s="93" t="s">
        <v>113536</v>
      </c>
      <c r="X268" s="555"/>
      <c r="Y268" s="555"/>
      <c r="Z268" s="555"/>
      <c r="AA268" s="555"/>
      <c r="AB268" s="555"/>
      <c r="AC268" s="555"/>
      <c r="AD268" s="555"/>
      <c r="AE268" s="555"/>
      <c r="AF268" s="555"/>
      <c r="AG268" s="555"/>
      <c r="AH268" s="555"/>
      <c r="AI268" s="555"/>
      <c r="AJ268" s="548">
        <v>0</v>
      </c>
    </row>
    <row r="269" spans="2:36" ht="30" x14ac:dyDescent="0.2">
      <c r="B269" s="60" t="s">
        <v>105516</v>
      </c>
      <c r="C269" s="60" t="s">
        <v>105924</v>
      </c>
      <c r="D269" s="60" t="s">
        <v>105520</v>
      </c>
      <c r="E269" s="60" t="s">
        <v>105573</v>
      </c>
      <c r="F269" s="60" t="s">
        <v>105550</v>
      </c>
      <c r="G269" s="60"/>
      <c r="H269" s="60"/>
      <c r="I269" s="60"/>
      <c r="J269" s="373"/>
      <c r="K269" s="248"/>
      <c r="L269" s="62"/>
      <c r="M269" s="63" t="s">
        <v>106865</v>
      </c>
      <c r="N269" s="64"/>
      <c r="O269" s="185"/>
      <c r="P269" s="65"/>
      <c r="Q269" s="65"/>
      <c r="R269" s="66">
        <f>+R270+R277</f>
        <v>4104009000</v>
      </c>
      <c r="S269" s="66">
        <f t="shared" ref="S269" si="249">+S270+S277</f>
        <v>4104009000</v>
      </c>
      <c r="T269" s="66">
        <f>+T270+T277</f>
        <v>0</v>
      </c>
      <c r="U269" s="67"/>
      <c r="V269" s="67"/>
      <c r="W269" s="248"/>
      <c r="X269" s="66">
        <f t="shared" ref="X269:Y269" si="250">+X270+X277</f>
        <v>0</v>
      </c>
      <c r="Y269" s="66">
        <f t="shared" si="250"/>
        <v>0</v>
      </c>
      <c r="Z269" s="66">
        <f t="shared" ref="Z269:AC269" si="251">+Z270+Z277</f>
        <v>0</v>
      </c>
      <c r="AA269" s="66">
        <f t="shared" si="251"/>
        <v>0</v>
      </c>
      <c r="AB269" s="66">
        <f t="shared" si="251"/>
        <v>0</v>
      </c>
      <c r="AC269" s="66">
        <f t="shared" si="251"/>
        <v>0</v>
      </c>
      <c r="AD269" s="66">
        <f t="shared" ref="AD269:AI269" si="252">+AD270+AD277</f>
        <v>0</v>
      </c>
      <c r="AE269" s="66">
        <f t="shared" si="252"/>
        <v>0</v>
      </c>
      <c r="AF269" s="66">
        <f t="shared" si="252"/>
        <v>0</v>
      </c>
      <c r="AG269" s="66">
        <f t="shared" si="252"/>
        <v>0</v>
      </c>
      <c r="AH269" s="66">
        <f t="shared" si="252"/>
        <v>0</v>
      </c>
      <c r="AI269" s="66">
        <f t="shared" si="252"/>
        <v>0</v>
      </c>
      <c r="AJ269" s="548">
        <v>0</v>
      </c>
    </row>
    <row r="270" spans="2:36" x14ac:dyDescent="0.2">
      <c r="B270" s="313" t="s">
        <v>105516</v>
      </c>
      <c r="C270" s="313" t="s">
        <v>105924</v>
      </c>
      <c r="D270" s="313" t="s">
        <v>105520</v>
      </c>
      <c r="E270" s="313" t="s">
        <v>105573</v>
      </c>
      <c r="F270" s="313" t="s">
        <v>105550</v>
      </c>
      <c r="G270" s="316" t="s">
        <v>105528</v>
      </c>
      <c r="H270" s="165"/>
      <c r="I270" s="165"/>
      <c r="J270" s="381"/>
      <c r="K270" s="165"/>
      <c r="L270" s="166"/>
      <c r="M270" s="167" t="s">
        <v>106867</v>
      </c>
      <c r="N270" s="168"/>
      <c r="O270" s="168"/>
      <c r="P270" s="169"/>
      <c r="Q270" s="169"/>
      <c r="R270" s="170">
        <f>R271</f>
        <v>3944009000</v>
      </c>
      <c r="S270" s="170">
        <f t="shared" ref="S270" si="253">S271</f>
        <v>3944009000</v>
      </c>
      <c r="T270" s="170">
        <f>T271</f>
        <v>0</v>
      </c>
      <c r="U270" s="171"/>
      <c r="V270" s="171"/>
      <c r="W270" s="165"/>
      <c r="X270" s="170">
        <f t="shared" ref="X270:AI270" si="254">X271</f>
        <v>0</v>
      </c>
      <c r="Y270" s="170">
        <f t="shared" si="254"/>
        <v>0</v>
      </c>
      <c r="Z270" s="170">
        <f t="shared" si="254"/>
        <v>0</v>
      </c>
      <c r="AA270" s="170">
        <f t="shared" si="254"/>
        <v>0</v>
      </c>
      <c r="AB270" s="170">
        <f t="shared" si="254"/>
        <v>0</v>
      </c>
      <c r="AC270" s="170">
        <f t="shared" si="254"/>
        <v>0</v>
      </c>
      <c r="AD270" s="170">
        <f t="shared" si="254"/>
        <v>0</v>
      </c>
      <c r="AE270" s="170">
        <f t="shared" si="254"/>
        <v>0</v>
      </c>
      <c r="AF270" s="170">
        <f t="shared" si="254"/>
        <v>0</v>
      </c>
      <c r="AG270" s="170">
        <f t="shared" si="254"/>
        <v>0</v>
      </c>
      <c r="AH270" s="170">
        <f t="shared" si="254"/>
        <v>0</v>
      </c>
      <c r="AI270" s="170">
        <f t="shared" si="254"/>
        <v>0</v>
      </c>
      <c r="AJ270" s="548">
        <v>0</v>
      </c>
    </row>
    <row r="271" spans="2:36" ht="30" x14ac:dyDescent="0.2">
      <c r="B271" s="78" t="s">
        <v>105516</v>
      </c>
      <c r="C271" s="78" t="s">
        <v>105924</v>
      </c>
      <c r="D271" s="78" t="s">
        <v>105520</v>
      </c>
      <c r="E271" s="78" t="s">
        <v>105573</v>
      </c>
      <c r="F271" s="78" t="s">
        <v>105550</v>
      </c>
      <c r="G271" s="78" t="s">
        <v>105528</v>
      </c>
      <c r="H271" s="78" t="s">
        <v>105675</v>
      </c>
      <c r="I271" s="78"/>
      <c r="J271" s="384"/>
      <c r="K271" s="78"/>
      <c r="L271" s="395"/>
      <c r="M271" s="79" t="s">
        <v>113222</v>
      </c>
      <c r="N271" s="80"/>
      <c r="O271" s="80"/>
      <c r="P271" s="81"/>
      <c r="Q271" s="81"/>
      <c r="R271" s="82">
        <f>R272+R274</f>
        <v>3944009000</v>
      </c>
      <c r="S271" s="82">
        <f t="shared" ref="S271" si="255">S272+S274</f>
        <v>3944009000</v>
      </c>
      <c r="T271" s="82">
        <f>T272+T274</f>
        <v>0</v>
      </c>
      <c r="U271" s="83"/>
      <c r="V271" s="83"/>
      <c r="W271" s="77"/>
      <c r="X271" s="82">
        <f t="shared" ref="X271:Y271" si="256">X272+X274</f>
        <v>0</v>
      </c>
      <c r="Y271" s="82">
        <f t="shared" si="256"/>
        <v>0</v>
      </c>
      <c r="Z271" s="82">
        <f t="shared" ref="Z271:AC271" si="257">Z272+Z274</f>
        <v>0</v>
      </c>
      <c r="AA271" s="82">
        <f t="shared" si="257"/>
        <v>0</v>
      </c>
      <c r="AB271" s="82">
        <f t="shared" si="257"/>
        <v>0</v>
      </c>
      <c r="AC271" s="82">
        <f t="shared" si="257"/>
        <v>0</v>
      </c>
      <c r="AD271" s="82">
        <f t="shared" ref="AD271:AI271" si="258">AD272+AD274</f>
        <v>0</v>
      </c>
      <c r="AE271" s="82">
        <f t="shared" si="258"/>
        <v>0</v>
      </c>
      <c r="AF271" s="82">
        <f t="shared" si="258"/>
        <v>0</v>
      </c>
      <c r="AG271" s="82">
        <f t="shared" si="258"/>
        <v>0</v>
      </c>
      <c r="AH271" s="82">
        <f t="shared" si="258"/>
        <v>0</v>
      </c>
      <c r="AI271" s="82">
        <f t="shared" si="258"/>
        <v>0</v>
      </c>
      <c r="AJ271" s="548">
        <v>0</v>
      </c>
    </row>
    <row r="272" spans="2:36" ht="29.25" customHeight="1" x14ac:dyDescent="0.2">
      <c r="B272" s="78" t="s">
        <v>105516</v>
      </c>
      <c r="C272" s="78" t="s">
        <v>105924</v>
      </c>
      <c r="D272" s="78" t="s">
        <v>105520</v>
      </c>
      <c r="E272" s="78" t="s">
        <v>105573</v>
      </c>
      <c r="F272" s="78" t="s">
        <v>105550</v>
      </c>
      <c r="G272" s="78" t="s">
        <v>105528</v>
      </c>
      <c r="H272" s="78" t="s">
        <v>105675</v>
      </c>
      <c r="I272" s="78" t="s">
        <v>106211</v>
      </c>
      <c r="J272" s="384"/>
      <c r="K272" s="78"/>
      <c r="L272" s="395"/>
      <c r="M272" s="79" t="s">
        <v>113223</v>
      </c>
      <c r="N272" s="80"/>
      <c r="O272" s="80"/>
      <c r="P272" s="81"/>
      <c r="Q272" s="81"/>
      <c r="R272" s="82">
        <f>R273</f>
        <v>126000000</v>
      </c>
      <c r="S272" s="82">
        <f t="shared" ref="S272" si="259">S273</f>
        <v>126000000</v>
      </c>
      <c r="T272" s="82">
        <f>T273</f>
        <v>0</v>
      </c>
      <c r="U272" s="83"/>
      <c r="V272" s="83"/>
      <c r="W272" s="77"/>
      <c r="X272" s="82">
        <f t="shared" ref="X272:AI272" si="260">X273</f>
        <v>0</v>
      </c>
      <c r="Y272" s="82">
        <f t="shared" si="260"/>
        <v>0</v>
      </c>
      <c r="Z272" s="82">
        <f t="shared" si="260"/>
        <v>0</v>
      </c>
      <c r="AA272" s="82">
        <f t="shared" si="260"/>
        <v>0</v>
      </c>
      <c r="AB272" s="82">
        <f t="shared" si="260"/>
        <v>0</v>
      </c>
      <c r="AC272" s="82">
        <f t="shared" si="260"/>
        <v>0</v>
      </c>
      <c r="AD272" s="82">
        <f t="shared" si="260"/>
        <v>0</v>
      </c>
      <c r="AE272" s="82">
        <f t="shared" si="260"/>
        <v>0</v>
      </c>
      <c r="AF272" s="82">
        <f t="shared" si="260"/>
        <v>0</v>
      </c>
      <c r="AG272" s="82">
        <f t="shared" si="260"/>
        <v>0</v>
      </c>
      <c r="AH272" s="82">
        <f t="shared" si="260"/>
        <v>0</v>
      </c>
      <c r="AI272" s="82">
        <f t="shared" si="260"/>
        <v>0</v>
      </c>
      <c r="AJ272" s="548">
        <v>0</v>
      </c>
    </row>
    <row r="273" spans="1:36" ht="30" x14ac:dyDescent="0.2">
      <c r="B273" s="189"/>
      <c r="C273" s="190"/>
      <c r="D273" s="190"/>
      <c r="E273" s="190"/>
      <c r="F273" s="190"/>
      <c r="G273" s="190"/>
      <c r="H273" s="190"/>
      <c r="I273" s="190"/>
      <c r="J273" s="190"/>
      <c r="K273" s="93" t="s">
        <v>112489</v>
      </c>
      <c r="L273" s="52"/>
      <c r="M273" s="99" t="s">
        <v>113143</v>
      </c>
      <c r="N273" s="90" t="s">
        <v>113031</v>
      </c>
      <c r="O273" s="90" t="s">
        <v>113031</v>
      </c>
      <c r="P273" s="90" t="s">
        <v>113031</v>
      </c>
      <c r="Q273" s="90" t="s">
        <v>113031</v>
      </c>
      <c r="R273" s="92">
        <v>126000000</v>
      </c>
      <c r="S273" s="528">
        <v>126000000</v>
      </c>
      <c r="T273" s="430">
        <v>0</v>
      </c>
      <c r="U273" s="93"/>
      <c r="V273" s="94"/>
      <c r="W273" s="93" t="s">
        <v>113000</v>
      </c>
      <c r="X273" s="555"/>
      <c r="Y273" s="555"/>
      <c r="Z273" s="555"/>
      <c r="AA273" s="555"/>
      <c r="AB273" s="555"/>
      <c r="AC273" s="555"/>
      <c r="AD273" s="555"/>
      <c r="AE273" s="555"/>
      <c r="AF273" s="555"/>
      <c r="AG273" s="555"/>
      <c r="AH273" s="555"/>
      <c r="AI273" s="555"/>
      <c r="AJ273" s="548">
        <v>0</v>
      </c>
    </row>
    <row r="274" spans="1:36" ht="30" x14ac:dyDescent="0.2">
      <c r="B274" s="77" t="s">
        <v>105516</v>
      </c>
      <c r="C274" s="78" t="s">
        <v>105924</v>
      </c>
      <c r="D274" s="78" t="s">
        <v>105520</v>
      </c>
      <c r="E274" s="78" t="s">
        <v>105573</v>
      </c>
      <c r="F274" s="78" t="s">
        <v>105550</v>
      </c>
      <c r="G274" s="78" t="s">
        <v>105528</v>
      </c>
      <c r="H274" s="77" t="s">
        <v>105675</v>
      </c>
      <c r="I274" s="77" t="s">
        <v>106217</v>
      </c>
      <c r="J274" s="375"/>
      <c r="K274" s="78"/>
      <c r="L274" s="395"/>
      <c r="M274" s="79" t="s">
        <v>106892</v>
      </c>
      <c r="N274" s="80"/>
      <c r="O274" s="80"/>
      <c r="P274" s="81"/>
      <c r="Q274" s="81"/>
      <c r="R274" s="82">
        <f t="shared" ref="R274:S275" si="261">R275</f>
        <v>3818009000</v>
      </c>
      <c r="S274" s="82">
        <f t="shared" si="261"/>
        <v>3818009000</v>
      </c>
      <c r="T274" s="82">
        <f>T275</f>
        <v>0</v>
      </c>
      <c r="U274" s="83"/>
      <c r="V274" s="83"/>
      <c r="W274" s="77"/>
      <c r="X274" s="82">
        <f t="shared" ref="X274:AI275" si="262">X275</f>
        <v>0</v>
      </c>
      <c r="Y274" s="82">
        <f t="shared" si="262"/>
        <v>0</v>
      </c>
      <c r="Z274" s="82">
        <f t="shared" si="262"/>
        <v>0</v>
      </c>
      <c r="AA274" s="82">
        <f t="shared" si="262"/>
        <v>0</v>
      </c>
      <c r="AB274" s="82">
        <f t="shared" si="262"/>
        <v>0</v>
      </c>
      <c r="AC274" s="82">
        <f t="shared" si="262"/>
        <v>0</v>
      </c>
      <c r="AD274" s="82">
        <f t="shared" si="262"/>
        <v>0</v>
      </c>
      <c r="AE274" s="82">
        <f t="shared" si="262"/>
        <v>0</v>
      </c>
      <c r="AF274" s="82">
        <f t="shared" si="262"/>
        <v>0</v>
      </c>
      <c r="AG274" s="82">
        <f t="shared" si="262"/>
        <v>0</v>
      </c>
      <c r="AH274" s="82">
        <f t="shared" si="262"/>
        <v>0</v>
      </c>
      <c r="AI274" s="82">
        <f t="shared" si="262"/>
        <v>0</v>
      </c>
      <c r="AJ274" s="548">
        <v>0</v>
      </c>
    </row>
    <row r="275" spans="1:36" ht="30" x14ac:dyDescent="0.2">
      <c r="B275" s="77" t="s">
        <v>105516</v>
      </c>
      <c r="C275" s="78" t="s">
        <v>105924</v>
      </c>
      <c r="D275" s="78" t="s">
        <v>105520</v>
      </c>
      <c r="E275" s="78" t="s">
        <v>105573</v>
      </c>
      <c r="F275" s="78" t="s">
        <v>105550</v>
      </c>
      <c r="G275" s="78" t="s">
        <v>105528</v>
      </c>
      <c r="H275" s="77" t="s">
        <v>105675</v>
      </c>
      <c r="I275" s="77" t="s">
        <v>106217</v>
      </c>
      <c r="J275" s="375" t="s">
        <v>105917</v>
      </c>
      <c r="K275" s="78"/>
      <c r="L275" s="395"/>
      <c r="M275" s="79" t="s">
        <v>106900</v>
      </c>
      <c r="N275" s="80"/>
      <c r="O275" s="80"/>
      <c r="P275" s="81"/>
      <c r="Q275" s="81"/>
      <c r="R275" s="82">
        <f t="shared" si="261"/>
        <v>3818009000</v>
      </c>
      <c r="S275" s="82">
        <f t="shared" si="261"/>
        <v>3818009000</v>
      </c>
      <c r="T275" s="82">
        <f>T276</f>
        <v>0</v>
      </c>
      <c r="U275" s="83"/>
      <c r="V275" s="83"/>
      <c r="W275" s="77"/>
      <c r="X275" s="82">
        <f t="shared" si="262"/>
        <v>0</v>
      </c>
      <c r="Y275" s="82">
        <f t="shared" si="262"/>
        <v>0</v>
      </c>
      <c r="Z275" s="82">
        <f t="shared" si="262"/>
        <v>0</v>
      </c>
      <c r="AA275" s="82">
        <f t="shared" si="262"/>
        <v>0</v>
      </c>
      <c r="AB275" s="82">
        <f t="shared" si="262"/>
        <v>0</v>
      </c>
      <c r="AC275" s="82">
        <f t="shared" si="262"/>
        <v>0</v>
      </c>
      <c r="AD275" s="82">
        <f t="shared" si="262"/>
        <v>0</v>
      </c>
      <c r="AE275" s="82">
        <f t="shared" si="262"/>
        <v>0</v>
      </c>
      <c r="AF275" s="82">
        <f t="shared" si="262"/>
        <v>0</v>
      </c>
      <c r="AG275" s="82">
        <f t="shared" si="262"/>
        <v>0</v>
      </c>
      <c r="AH275" s="82">
        <f t="shared" si="262"/>
        <v>0</v>
      </c>
      <c r="AI275" s="82">
        <f t="shared" si="262"/>
        <v>0</v>
      </c>
      <c r="AJ275" s="548">
        <v>0</v>
      </c>
    </row>
    <row r="276" spans="1:36" ht="45" x14ac:dyDescent="0.2">
      <c r="B276" s="189"/>
      <c r="C276" s="190"/>
      <c r="D276" s="190"/>
      <c r="E276" s="190"/>
      <c r="F276" s="190"/>
      <c r="G276" s="190"/>
      <c r="H276" s="190"/>
      <c r="I276" s="190"/>
      <c r="J276" s="190"/>
      <c r="K276" s="93" t="s">
        <v>112489</v>
      </c>
      <c r="L276" s="88" t="s">
        <v>113067</v>
      </c>
      <c r="M276" s="99" t="s">
        <v>113537</v>
      </c>
      <c r="N276" s="90"/>
      <c r="O276" s="90"/>
      <c r="P276" s="90"/>
      <c r="Q276" s="90" t="s">
        <v>113069</v>
      </c>
      <c r="R276" s="92">
        <v>3818009000</v>
      </c>
      <c r="S276" s="528">
        <v>3818009000</v>
      </c>
      <c r="T276" s="430">
        <v>0</v>
      </c>
      <c r="U276" s="93" t="s">
        <v>105533</v>
      </c>
      <c r="V276" s="92">
        <v>2214579446</v>
      </c>
      <c r="W276" s="93" t="s">
        <v>113000</v>
      </c>
      <c r="X276" s="555"/>
      <c r="Y276" s="555"/>
      <c r="Z276" s="555"/>
      <c r="AA276" s="555"/>
      <c r="AB276" s="555"/>
      <c r="AC276" s="555"/>
      <c r="AD276" s="555"/>
      <c r="AE276" s="555"/>
      <c r="AF276" s="555"/>
      <c r="AG276" s="555"/>
      <c r="AH276" s="555"/>
      <c r="AI276" s="555"/>
      <c r="AJ276" s="548">
        <v>0</v>
      </c>
    </row>
    <row r="277" spans="1:36" x14ac:dyDescent="0.2">
      <c r="B277" s="313" t="s">
        <v>105516</v>
      </c>
      <c r="C277" s="313" t="s">
        <v>105924</v>
      </c>
      <c r="D277" s="313" t="s">
        <v>105520</v>
      </c>
      <c r="E277" s="313" t="s">
        <v>105573</v>
      </c>
      <c r="F277" s="313" t="s">
        <v>105550</v>
      </c>
      <c r="G277" s="313" t="s">
        <v>105535</v>
      </c>
      <c r="H277" s="165"/>
      <c r="I277" s="165"/>
      <c r="J277" s="381"/>
      <c r="K277" s="165"/>
      <c r="L277" s="166"/>
      <c r="M277" s="167" t="s">
        <v>106948</v>
      </c>
      <c r="N277" s="168"/>
      <c r="O277" s="168"/>
      <c r="P277" s="169"/>
      <c r="Q277" s="169"/>
      <c r="R277" s="170">
        <f t="shared" ref="R277:S279" si="263">+R278</f>
        <v>160000000</v>
      </c>
      <c r="S277" s="170">
        <f t="shared" si="263"/>
        <v>160000000</v>
      </c>
      <c r="T277" s="170">
        <f>+T278</f>
        <v>0</v>
      </c>
      <c r="U277" s="171"/>
      <c r="V277" s="171"/>
      <c r="W277" s="165"/>
      <c r="X277" s="170">
        <f t="shared" ref="X277:AI279" si="264">+X278</f>
        <v>0</v>
      </c>
      <c r="Y277" s="170">
        <f t="shared" si="264"/>
        <v>0</v>
      </c>
      <c r="Z277" s="170">
        <f t="shared" si="264"/>
        <v>0</v>
      </c>
      <c r="AA277" s="170">
        <f t="shared" si="264"/>
        <v>0</v>
      </c>
      <c r="AB277" s="170">
        <f t="shared" si="264"/>
        <v>0</v>
      </c>
      <c r="AC277" s="170">
        <f t="shared" si="264"/>
        <v>0</v>
      </c>
      <c r="AD277" s="170">
        <f t="shared" si="264"/>
        <v>0</v>
      </c>
      <c r="AE277" s="170">
        <f t="shared" si="264"/>
        <v>0</v>
      </c>
      <c r="AF277" s="170">
        <f t="shared" si="264"/>
        <v>0</v>
      </c>
      <c r="AG277" s="170">
        <f t="shared" si="264"/>
        <v>0</v>
      </c>
      <c r="AH277" s="170">
        <f t="shared" si="264"/>
        <v>0</v>
      </c>
      <c r="AI277" s="170">
        <f t="shared" si="264"/>
        <v>0</v>
      </c>
      <c r="AJ277" s="548">
        <v>0</v>
      </c>
    </row>
    <row r="278" spans="1:36" ht="30" x14ac:dyDescent="0.2">
      <c r="B278" s="78" t="s">
        <v>105516</v>
      </c>
      <c r="C278" s="78" t="s">
        <v>105924</v>
      </c>
      <c r="D278" s="78" t="s">
        <v>105520</v>
      </c>
      <c r="E278" s="78" t="s">
        <v>105573</v>
      </c>
      <c r="F278" s="78" t="s">
        <v>105550</v>
      </c>
      <c r="G278" s="78" t="s">
        <v>105535</v>
      </c>
      <c r="H278" s="78" t="s">
        <v>105520</v>
      </c>
      <c r="I278" s="77"/>
      <c r="J278" s="375"/>
      <c r="K278" s="77"/>
      <c r="L278" s="395"/>
      <c r="M278" s="79" t="s">
        <v>106950</v>
      </c>
      <c r="N278" s="80"/>
      <c r="O278" s="80"/>
      <c r="P278" s="81"/>
      <c r="Q278" s="81"/>
      <c r="R278" s="82">
        <f t="shared" si="263"/>
        <v>160000000</v>
      </c>
      <c r="S278" s="82">
        <f t="shared" si="263"/>
        <v>160000000</v>
      </c>
      <c r="T278" s="82">
        <f>+T279</f>
        <v>0</v>
      </c>
      <c r="U278" s="83"/>
      <c r="V278" s="83"/>
      <c r="W278" s="118"/>
      <c r="X278" s="82">
        <f t="shared" si="264"/>
        <v>0</v>
      </c>
      <c r="Y278" s="82">
        <f t="shared" si="264"/>
        <v>0</v>
      </c>
      <c r="Z278" s="82">
        <f t="shared" si="264"/>
        <v>0</v>
      </c>
      <c r="AA278" s="82">
        <f t="shared" si="264"/>
        <v>0</v>
      </c>
      <c r="AB278" s="82">
        <f t="shared" si="264"/>
        <v>0</v>
      </c>
      <c r="AC278" s="82">
        <f t="shared" si="264"/>
        <v>0</v>
      </c>
      <c r="AD278" s="82">
        <f t="shared" si="264"/>
        <v>0</v>
      </c>
      <c r="AE278" s="82">
        <f t="shared" si="264"/>
        <v>0</v>
      </c>
      <c r="AF278" s="82">
        <f t="shared" si="264"/>
        <v>0</v>
      </c>
      <c r="AG278" s="82">
        <f t="shared" si="264"/>
        <v>0</v>
      </c>
      <c r="AH278" s="82">
        <f t="shared" si="264"/>
        <v>0</v>
      </c>
      <c r="AI278" s="82">
        <f t="shared" si="264"/>
        <v>0</v>
      </c>
      <c r="AJ278" s="548">
        <v>0</v>
      </c>
    </row>
    <row r="279" spans="1:36" ht="48" customHeight="1" x14ac:dyDescent="0.2">
      <c r="B279" s="78" t="s">
        <v>105516</v>
      </c>
      <c r="C279" s="78" t="s">
        <v>105924</v>
      </c>
      <c r="D279" s="78" t="s">
        <v>105520</v>
      </c>
      <c r="E279" s="78" t="s">
        <v>105573</v>
      </c>
      <c r="F279" s="78" t="s">
        <v>105550</v>
      </c>
      <c r="G279" s="78" t="s">
        <v>105535</v>
      </c>
      <c r="H279" s="77" t="s">
        <v>105520</v>
      </c>
      <c r="I279" s="77" t="s">
        <v>105576</v>
      </c>
      <c r="J279" s="375"/>
      <c r="K279" s="77"/>
      <c r="L279" s="395"/>
      <c r="M279" s="79" t="s">
        <v>106952</v>
      </c>
      <c r="N279" s="80"/>
      <c r="O279" s="80"/>
      <c r="P279" s="81"/>
      <c r="Q279" s="81"/>
      <c r="R279" s="82">
        <f t="shared" si="263"/>
        <v>160000000</v>
      </c>
      <c r="S279" s="82">
        <f t="shared" si="263"/>
        <v>160000000</v>
      </c>
      <c r="T279" s="82">
        <f>+T280</f>
        <v>0</v>
      </c>
      <c r="U279" s="83"/>
      <c r="V279" s="83"/>
      <c r="W279" s="118"/>
      <c r="X279" s="82">
        <f t="shared" si="264"/>
        <v>0</v>
      </c>
      <c r="Y279" s="82">
        <f t="shared" si="264"/>
        <v>0</v>
      </c>
      <c r="Z279" s="82">
        <f t="shared" si="264"/>
        <v>0</v>
      </c>
      <c r="AA279" s="82">
        <f t="shared" si="264"/>
        <v>0</v>
      </c>
      <c r="AB279" s="82">
        <f t="shared" si="264"/>
        <v>0</v>
      </c>
      <c r="AC279" s="82">
        <f t="shared" si="264"/>
        <v>0</v>
      </c>
      <c r="AD279" s="82">
        <f t="shared" si="264"/>
        <v>0</v>
      </c>
      <c r="AE279" s="82">
        <f t="shared" si="264"/>
        <v>0</v>
      </c>
      <c r="AF279" s="82">
        <f t="shared" si="264"/>
        <v>0</v>
      </c>
      <c r="AG279" s="82">
        <f t="shared" si="264"/>
        <v>0</v>
      </c>
      <c r="AH279" s="82">
        <f t="shared" si="264"/>
        <v>0</v>
      </c>
      <c r="AI279" s="82">
        <f t="shared" si="264"/>
        <v>0</v>
      </c>
      <c r="AJ279" s="548">
        <v>0</v>
      </c>
    </row>
    <row r="280" spans="1:36" x14ac:dyDescent="0.2">
      <c r="B280" s="189"/>
      <c r="C280" s="190"/>
      <c r="D280" s="190"/>
      <c r="E280" s="190"/>
      <c r="F280" s="190"/>
      <c r="G280" s="190"/>
      <c r="H280" s="190"/>
      <c r="I280" s="190"/>
      <c r="J280" s="190"/>
      <c r="K280" s="93" t="s">
        <v>112528</v>
      </c>
      <c r="L280" s="52"/>
      <c r="M280" s="89" t="s">
        <v>113144</v>
      </c>
      <c r="N280" s="90">
        <v>45659</v>
      </c>
      <c r="O280" s="90" t="s">
        <v>113060</v>
      </c>
      <c r="P280" s="127" t="s">
        <v>113068</v>
      </c>
      <c r="Q280" s="90" t="s">
        <v>113031</v>
      </c>
      <c r="R280" s="92">
        <v>160000000</v>
      </c>
      <c r="S280" s="531">
        <v>160000000</v>
      </c>
      <c r="T280" s="432">
        <v>0</v>
      </c>
      <c r="U280" s="93"/>
      <c r="V280" s="94"/>
      <c r="W280" s="93" t="s">
        <v>113064</v>
      </c>
      <c r="X280" s="556"/>
      <c r="Y280" s="556"/>
      <c r="Z280" s="556"/>
      <c r="AA280" s="556"/>
      <c r="AB280" s="556"/>
      <c r="AC280" s="556"/>
      <c r="AD280" s="556"/>
      <c r="AE280" s="556"/>
      <c r="AF280" s="556"/>
      <c r="AG280" s="556"/>
      <c r="AH280" s="556"/>
      <c r="AI280" s="556"/>
      <c r="AJ280" s="548">
        <v>0</v>
      </c>
    </row>
    <row r="281" spans="1:36" ht="30" x14ac:dyDescent="0.2">
      <c r="B281" s="60" t="s">
        <v>105516</v>
      </c>
      <c r="C281" s="60" t="s">
        <v>105924</v>
      </c>
      <c r="D281" s="60" t="s">
        <v>105520</v>
      </c>
      <c r="E281" s="60" t="s">
        <v>105573</v>
      </c>
      <c r="F281" s="60" t="s">
        <v>105553</v>
      </c>
      <c r="G281" s="60"/>
      <c r="H281" s="60"/>
      <c r="I281" s="60"/>
      <c r="J281" s="373"/>
      <c r="K281" s="248"/>
      <c r="L281" s="62"/>
      <c r="M281" s="63" t="s">
        <v>106978</v>
      </c>
      <c r="N281" s="64"/>
      <c r="O281" s="64"/>
      <c r="P281" s="65"/>
      <c r="Q281" s="65"/>
      <c r="R281" s="66">
        <f>+R282+R291+R303</f>
        <v>3047430000</v>
      </c>
      <c r="S281" s="66">
        <f>+S282+S291+S303</f>
        <v>3117165059.7600002</v>
      </c>
      <c r="T281" s="66">
        <f>+T282+T291+T303</f>
        <v>0</v>
      </c>
      <c r="U281" s="67"/>
      <c r="V281" s="67"/>
      <c r="W281" s="248"/>
      <c r="X281" s="66">
        <f t="shared" ref="X281:AI281" si="265">+X282+X291+X303</f>
        <v>0</v>
      </c>
      <c r="Y281" s="66">
        <f t="shared" si="265"/>
        <v>0</v>
      </c>
      <c r="Z281" s="66">
        <f t="shared" si="265"/>
        <v>0</v>
      </c>
      <c r="AA281" s="66">
        <f t="shared" si="265"/>
        <v>0</v>
      </c>
      <c r="AB281" s="66">
        <f t="shared" si="265"/>
        <v>0</v>
      </c>
      <c r="AC281" s="66">
        <f t="shared" si="265"/>
        <v>0</v>
      </c>
      <c r="AD281" s="66">
        <f t="shared" si="265"/>
        <v>0</v>
      </c>
      <c r="AE281" s="66">
        <f t="shared" si="265"/>
        <v>0</v>
      </c>
      <c r="AF281" s="66">
        <f t="shared" si="265"/>
        <v>0</v>
      </c>
      <c r="AG281" s="66">
        <f t="shared" si="265"/>
        <v>0</v>
      </c>
      <c r="AH281" s="66">
        <f t="shared" si="265"/>
        <v>0</v>
      </c>
      <c r="AI281" s="66">
        <f t="shared" si="265"/>
        <v>0</v>
      </c>
      <c r="AJ281" s="548">
        <v>0</v>
      </c>
    </row>
    <row r="282" spans="1:36" ht="45" x14ac:dyDescent="0.2">
      <c r="B282" s="313" t="s">
        <v>105516</v>
      </c>
      <c r="C282" s="313" t="s">
        <v>105924</v>
      </c>
      <c r="D282" s="313" t="s">
        <v>105520</v>
      </c>
      <c r="E282" s="313" t="s">
        <v>105573</v>
      </c>
      <c r="F282" s="313" t="s">
        <v>105553</v>
      </c>
      <c r="G282" s="313" t="s">
        <v>105538</v>
      </c>
      <c r="H282" s="165"/>
      <c r="I282" s="165"/>
      <c r="J282" s="381"/>
      <c r="K282" s="165"/>
      <c r="L282" s="166"/>
      <c r="M282" s="167" t="s">
        <v>113224</v>
      </c>
      <c r="N282" s="168"/>
      <c r="O282" s="168"/>
      <c r="P282" s="169"/>
      <c r="Q282" s="169"/>
      <c r="R282" s="170">
        <f t="shared" ref="R282:S283" si="266">+R283</f>
        <v>215750000</v>
      </c>
      <c r="S282" s="170">
        <f t="shared" si="266"/>
        <v>226850000</v>
      </c>
      <c r="T282" s="170">
        <f>+T283</f>
        <v>0</v>
      </c>
      <c r="U282" s="171"/>
      <c r="V282" s="171"/>
      <c r="W282" s="165"/>
      <c r="X282" s="170">
        <f t="shared" ref="X282:AI283" si="267">+X283</f>
        <v>0</v>
      </c>
      <c r="Y282" s="170">
        <f t="shared" si="267"/>
        <v>0</v>
      </c>
      <c r="Z282" s="170">
        <f t="shared" si="267"/>
        <v>0</v>
      </c>
      <c r="AA282" s="170">
        <f t="shared" si="267"/>
        <v>0</v>
      </c>
      <c r="AB282" s="170">
        <f t="shared" si="267"/>
        <v>0</v>
      </c>
      <c r="AC282" s="170">
        <f t="shared" si="267"/>
        <v>0</v>
      </c>
      <c r="AD282" s="170">
        <f t="shared" si="267"/>
        <v>0</v>
      </c>
      <c r="AE282" s="170">
        <f t="shared" si="267"/>
        <v>0</v>
      </c>
      <c r="AF282" s="170">
        <f t="shared" si="267"/>
        <v>0</v>
      </c>
      <c r="AG282" s="170">
        <f t="shared" si="267"/>
        <v>0</v>
      </c>
      <c r="AH282" s="170">
        <f t="shared" si="267"/>
        <v>0</v>
      </c>
      <c r="AI282" s="170">
        <f t="shared" si="267"/>
        <v>0</v>
      </c>
      <c r="AJ282" s="548">
        <v>0</v>
      </c>
    </row>
    <row r="283" spans="1:36" ht="30" x14ac:dyDescent="0.2">
      <c r="B283" s="77" t="s">
        <v>105516</v>
      </c>
      <c r="C283" s="77" t="s">
        <v>105924</v>
      </c>
      <c r="D283" s="77" t="s">
        <v>105520</v>
      </c>
      <c r="E283" s="77" t="s">
        <v>105573</v>
      </c>
      <c r="F283" s="77" t="s">
        <v>105553</v>
      </c>
      <c r="G283" s="77" t="s">
        <v>105538</v>
      </c>
      <c r="H283" s="77" t="s">
        <v>105520</v>
      </c>
      <c r="I283" s="77"/>
      <c r="J283" s="375"/>
      <c r="K283" s="77"/>
      <c r="L283" s="395"/>
      <c r="M283" s="79" t="s">
        <v>107000</v>
      </c>
      <c r="N283" s="80"/>
      <c r="O283" s="80"/>
      <c r="P283" s="81"/>
      <c r="Q283" s="81"/>
      <c r="R283" s="82">
        <f t="shared" si="266"/>
        <v>215750000</v>
      </c>
      <c r="S283" s="82">
        <f t="shared" si="266"/>
        <v>226850000</v>
      </c>
      <c r="T283" s="82">
        <f>+T284</f>
        <v>0</v>
      </c>
      <c r="U283" s="83"/>
      <c r="V283" s="83"/>
      <c r="W283" s="118"/>
      <c r="X283" s="82">
        <f t="shared" si="267"/>
        <v>0</v>
      </c>
      <c r="Y283" s="82">
        <f t="shared" si="267"/>
        <v>0</v>
      </c>
      <c r="Z283" s="82">
        <f t="shared" si="267"/>
        <v>0</v>
      </c>
      <c r="AA283" s="82">
        <f t="shared" si="267"/>
        <v>0</v>
      </c>
      <c r="AB283" s="82">
        <f t="shared" si="267"/>
        <v>0</v>
      </c>
      <c r="AC283" s="82">
        <f t="shared" si="267"/>
        <v>0</v>
      </c>
      <c r="AD283" s="82">
        <f t="shared" si="267"/>
        <v>0</v>
      </c>
      <c r="AE283" s="82">
        <f t="shared" si="267"/>
        <v>0</v>
      </c>
      <c r="AF283" s="82">
        <f t="shared" si="267"/>
        <v>0</v>
      </c>
      <c r="AG283" s="82">
        <f t="shared" si="267"/>
        <v>0</v>
      </c>
      <c r="AH283" s="82">
        <f t="shared" si="267"/>
        <v>0</v>
      </c>
      <c r="AI283" s="82">
        <f t="shared" si="267"/>
        <v>0</v>
      </c>
      <c r="AJ283" s="548">
        <v>0</v>
      </c>
    </row>
    <row r="284" spans="1:36" ht="30" x14ac:dyDescent="0.2">
      <c r="B284" s="77" t="s">
        <v>105516</v>
      </c>
      <c r="C284" s="77" t="s">
        <v>105924</v>
      </c>
      <c r="D284" s="77" t="s">
        <v>105520</v>
      </c>
      <c r="E284" s="77" t="s">
        <v>105573</v>
      </c>
      <c r="F284" s="77" t="s">
        <v>105553</v>
      </c>
      <c r="G284" s="77" t="s">
        <v>105538</v>
      </c>
      <c r="H284" s="77" t="s">
        <v>105520</v>
      </c>
      <c r="I284" s="77" t="s">
        <v>105576</v>
      </c>
      <c r="J284" s="375"/>
      <c r="K284" s="77"/>
      <c r="L284" s="395"/>
      <c r="M284" s="79" t="s">
        <v>107002</v>
      </c>
      <c r="N284" s="80"/>
      <c r="O284" s="80"/>
      <c r="P284" s="81"/>
      <c r="Q284" s="81"/>
      <c r="R284" s="82">
        <f>SUM(R285:R290)</f>
        <v>215750000</v>
      </c>
      <c r="S284" s="82">
        <f>SUM(S285:S290)</f>
        <v>226850000</v>
      </c>
      <c r="T284" s="82">
        <f>SUM(T285:T290)</f>
        <v>0</v>
      </c>
      <c r="U284" s="83"/>
      <c r="V284" s="83"/>
      <c r="W284" s="118"/>
      <c r="X284" s="82">
        <f t="shared" ref="X284:AI284" si="268">SUM(X285:X290)</f>
        <v>0</v>
      </c>
      <c r="Y284" s="82">
        <f t="shared" si="268"/>
        <v>0</v>
      </c>
      <c r="Z284" s="82">
        <f t="shared" si="268"/>
        <v>0</v>
      </c>
      <c r="AA284" s="82">
        <f t="shared" si="268"/>
        <v>0</v>
      </c>
      <c r="AB284" s="82">
        <f t="shared" si="268"/>
        <v>0</v>
      </c>
      <c r="AC284" s="82">
        <f t="shared" si="268"/>
        <v>0</v>
      </c>
      <c r="AD284" s="82">
        <f t="shared" si="268"/>
        <v>0</v>
      </c>
      <c r="AE284" s="82">
        <f t="shared" si="268"/>
        <v>0</v>
      </c>
      <c r="AF284" s="82">
        <f t="shared" si="268"/>
        <v>0</v>
      </c>
      <c r="AG284" s="82">
        <f t="shared" si="268"/>
        <v>0</v>
      </c>
      <c r="AH284" s="82">
        <f t="shared" si="268"/>
        <v>0</v>
      </c>
      <c r="AI284" s="82">
        <f t="shared" si="268"/>
        <v>0</v>
      </c>
      <c r="AJ284" s="548">
        <v>0</v>
      </c>
    </row>
    <row r="285" spans="1:36" ht="60" x14ac:dyDescent="0.2">
      <c r="B285" s="85"/>
      <c r="C285" s="86"/>
      <c r="D285" s="86"/>
      <c r="E285" s="86"/>
      <c r="F285" s="86"/>
      <c r="G285" s="86"/>
      <c r="H285" s="86"/>
      <c r="I285" s="86"/>
      <c r="J285" s="86"/>
      <c r="K285" s="93" t="s">
        <v>112567</v>
      </c>
      <c r="L285" s="88" t="s">
        <v>113295</v>
      </c>
      <c r="M285" s="99" t="s">
        <v>113737</v>
      </c>
      <c r="N285" s="90">
        <v>45684</v>
      </c>
      <c r="O285" s="90" t="s">
        <v>113037</v>
      </c>
      <c r="P285" s="91" t="s">
        <v>113002</v>
      </c>
      <c r="Q285" s="91" t="s">
        <v>113113</v>
      </c>
      <c r="R285" s="473">
        <v>35000000</v>
      </c>
      <c r="S285" s="528">
        <f>35000000-23300000-11700000</f>
        <v>0</v>
      </c>
      <c r="T285" s="430">
        <v>0</v>
      </c>
      <c r="U285" s="93"/>
      <c r="V285" s="94"/>
      <c r="W285" s="93" t="s">
        <v>113019</v>
      </c>
      <c r="X285" s="555"/>
      <c r="Y285" s="555"/>
      <c r="Z285" s="555"/>
      <c r="AA285" s="555"/>
      <c r="AB285" s="555"/>
      <c r="AC285" s="555"/>
      <c r="AD285" s="555"/>
      <c r="AE285" s="555"/>
      <c r="AF285" s="555"/>
      <c r="AG285" s="555"/>
      <c r="AH285" s="555"/>
      <c r="AI285" s="555"/>
      <c r="AJ285" s="548">
        <v>0</v>
      </c>
    </row>
    <row r="286" spans="1:36" ht="90" x14ac:dyDescent="0.2">
      <c r="B286" s="133"/>
      <c r="C286" s="134"/>
      <c r="D286" s="134"/>
      <c r="E286" s="134"/>
      <c r="F286" s="134"/>
      <c r="G286" s="134"/>
      <c r="H286" s="134"/>
      <c r="I286" s="134"/>
      <c r="J286" s="134"/>
      <c r="K286" s="93" t="s">
        <v>112567</v>
      </c>
      <c r="L286" s="88">
        <v>80101500</v>
      </c>
      <c r="M286" s="99" t="s">
        <v>113738</v>
      </c>
      <c r="N286" s="90">
        <v>45677</v>
      </c>
      <c r="O286" s="90" t="s">
        <v>113037</v>
      </c>
      <c r="P286" s="91" t="s">
        <v>113011</v>
      </c>
      <c r="Q286" s="91" t="s">
        <v>113071</v>
      </c>
      <c r="R286" s="302">
        <f>4500000*11</f>
        <v>49500000</v>
      </c>
      <c r="S286" s="596">
        <f>49500000+17200000</f>
        <v>66700000</v>
      </c>
      <c r="T286" s="430"/>
      <c r="U286" s="93"/>
      <c r="V286" s="94"/>
      <c r="W286" s="93" t="s">
        <v>113019</v>
      </c>
      <c r="X286" s="555"/>
      <c r="Y286" s="555"/>
      <c r="Z286" s="555"/>
      <c r="AA286" s="555"/>
      <c r="AB286" s="555"/>
      <c r="AC286" s="555"/>
      <c r="AD286" s="555"/>
      <c r="AE286" s="555"/>
      <c r="AF286" s="555"/>
      <c r="AG286" s="555"/>
      <c r="AH286" s="555"/>
      <c r="AI286" s="555"/>
      <c r="AJ286" s="548">
        <v>0</v>
      </c>
    </row>
    <row r="287" spans="1:36" ht="75" customHeight="1" x14ac:dyDescent="0.2">
      <c r="B287" s="133"/>
      <c r="C287" s="134"/>
      <c r="D287" s="134"/>
      <c r="E287" s="134"/>
      <c r="F287" s="134"/>
      <c r="G287" s="134"/>
      <c r="H287" s="134"/>
      <c r="I287" s="134"/>
      <c r="J287" s="134"/>
      <c r="K287" s="93" t="s">
        <v>112567</v>
      </c>
      <c r="L287" s="88">
        <v>80101500</v>
      </c>
      <c r="M287" s="99" t="s">
        <v>113851</v>
      </c>
      <c r="N287" s="90">
        <v>45677</v>
      </c>
      <c r="O287" s="90" t="s">
        <v>113037</v>
      </c>
      <c r="P287" s="91" t="s">
        <v>113011</v>
      </c>
      <c r="Q287" s="91" t="s">
        <v>113071</v>
      </c>
      <c r="R287" s="524">
        <f>4500000*11</f>
        <v>49500000</v>
      </c>
      <c r="S287" s="596">
        <f>49500000+17200000</f>
        <v>66700000</v>
      </c>
      <c r="T287" s="430">
        <v>0</v>
      </c>
      <c r="U287" s="93"/>
      <c r="V287" s="94"/>
      <c r="W287" s="93" t="s">
        <v>113019</v>
      </c>
      <c r="X287" s="555"/>
      <c r="Y287" s="555"/>
      <c r="Z287" s="555"/>
      <c r="AA287" s="555"/>
      <c r="AB287" s="555"/>
      <c r="AC287" s="555"/>
      <c r="AD287" s="555"/>
      <c r="AE287" s="555"/>
      <c r="AF287" s="555"/>
      <c r="AG287" s="555"/>
      <c r="AH287" s="555"/>
      <c r="AI287" s="555"/>
      <c r="AJ287" s="548">
        <v>0</v>
      </c>
    </row>
    <row r="288" spans="1:36" s="14" customFormat="1" ht="81.75" customHeight="1" x14ac:dyDescent="0.2">
      <c r="A288" s="566"/>
      <c r="B288" s="192"/>
      <c r="C288" s="193"/>
      <c r="D288" s="193"/>
      <c r="E288" s="193"/>
      <c r="F288" s="193"/>
      <c r="G288" s="193"/>
      <c r="H288" s="193"/>
      <c r="I288" s="193"/>
      <c r="J288" s="193"/>
      <c r="K288" s="195" t="s">
        <v>112567</v>
      </c>
      <c r="L288" s="88">
        <v>80101500</v>
      </c>
      <c r="M288" s="99" t="s">
        <v>113852</v>
      </c>
      <c r="N288" s="90">
        <v>45677</v>
      </c>
      <c r="O288" s="90" t="s">
        <v>113037</v>
      </c>
      <c r="P288" s="91" t="s">
        <v>113004</v>
      </c>
      <c r="Q288" s="91" t="s">
        <v>113071</v>
      </c>
      <c r="R288" s="92">
        <f>4500000*6</f>
        <v>27000000</v>
      </c>
      <c r="S288" s="528">
        <f>27000000+11700000</f>
        <v>38700000</v>
      </c>
      <c r="T288" s="430"/>
      <c r="U288" s="93"/>
      <c r="V288" s="94"/>
      <c r="W288" s="93" t="s">
        <v>113019</v>
      </c>
      <c r="X288" s="555"/>
      <c r="Y288" s="555"/>
      <c r="Z288" s="555"/>
      <c r="AA288" s="555"/>
      <c r="AB288" s="555"/>
      <c r="AC288" s="555"/>
      <c r="AD288" s="555"/>
      <c r="AE288" s="555"/>
      <c r="AF288" s="555"/>
      <c r="AG288" s="555"/>
      <c r="AH288" s="555"/>
      <c r="AI288" s="555"/>
      <c r="AJ288" s="548">
        <v>0</v>
      </c>
    </row>
    <row r="289" spans="1:36" s="14" customFormat="1" ht="57" customHeight="1" x14ac:dyDescent="0.2">
      <c r="A289" s="566"/>
      <c r="B289" s="192"/>
      <c r="C289" s="193"/>
      <c r="D289" s="193"/>
      <c r="E289" s="193"/>
      <c r="F289" s="193"/>
      <c r="G289" s="193"/>
      <c r="H289" s="193"/>
      <c r="I289" s="193"/>
      <c r="J289" s="193"/>
      <c r="K289" s="195" t="s">
        <v>112567</v>
      </c>
      <c r="L289" s="176">
        <v>80161500</v>
      </c>
      <c r="M289" s="99" t="s">
        <v>113796</v>
      </c>
      <c r="N289" s="90">
        <v>45667</v>
      </c>
      <c r="O289" s="90" t="s">
        <v>113060</v>
      </c>
      <c r="P289" s="91" t="s">
        <v>113011</v>
      </c>
      <c r="Q289" s="91" t="s">
        <v>113053</v>
      </c>
      <c r="R289" s="456">
        <v>47850000</v>
      </c>
      <c r="S289" s="528">
        <v>47850000</v>
      </c>
      <c r="T289" s="430">
        <v>0</v>
      </c>
      <c r="U289" s="128" t="s">
        <v>106081</v>
      </c>
      <c r="V289" s="188"/>
      <c r="W289" s="93" t="s">
        <v>113536</v>
      </c>
      <c r="X289" s="555"/>
      <c r="Y289" s="555"/>
      <c r="Z289" s="555"/>
      <c r="AA289" s="555"/>
      <c r="AB289" s="555"/>
      <c r="AC289" s="555"/>
      <c r="AD289" s="555"/>
      <c r="AE289" s="555"/>
      <c r="AF289" s="555"/>
      <c r="AG289" s="555"/>
      <c r="AH289" s="555"/>
      <c r="AI289" s="555"/>
      <c r="AJ289" s="548">
        <v>0</v>
      </c>
    </row>
    <row r="290" spans="1:36" s="14" customFormat="1" ht="45" x14ac:dyDescent="0.2">
      <c r="A290" s="566"/>
      <c r="B290" s="192"/>
      <c r="C290" s="193"/>
      <c r="D290" s="193"/>
      <c r="E290" s="193"/>
      <c r="F290" s="193"/>
      <c r="G290" s="193"/>
      <c r="H290" s="193"/>
      <c r="I290" s="193"/>
      <c r="J290" s="193"/>
      <c r="K290" s="195" t="s">
        <v>112567</v>
      </c>
      <c r="L290" s="52">
        <v>80101500</v>
      </c>
      <c r="M290" s="99" t="s">
        <v>113797</v>
      </c>
      <c r="N290" s="90">
        <v>45667</v>
      </c>
      <c r="O290" s="90" t="s">
        <v>113060</v>
      </c>
      <c r="P290" s="91" t="s">
        <v>113045</v>
      </c>
      <c r="Q290" s="91" t="s">
        <v>113053</v>
      </c>
      <c r="R290" s="524">
        <v>6900000</v>
      </c>
      <c r="S290" s="528">
        <v>6900000</v>
      </c>
      <c r="T290" s="430">
        <v>0</v>
      </c>
      <c r="U290" s="128" t="s">
        <v>106081</v>
      </c>
      <c r="V290" s="188"/>
      <c r="W290" s="93" t="s">
        <v>113064</v>
      </c>
      <c r="X290" s="555"/>
      <c r="Y290" s="555"/>
      <c r="Z290" s="555"/>
      <c r="AA290" s="555"/>
      <c r="AB290" s="555"/>
      <c r="AC290" s="555"/>
      <c r="AD290" s="555"/>
      <c r="AE290" s="555"/>
      <c r="AF290" s="555"/>
      <c r="AG290" s="555"/>
      <c r="AH290" s="555"/>
      <c r="AI290" s="555"/>
      <c r="AJ290" s="548">
        <v>0</v>
      </c>
    </row>
    <row r="291" spans="1:36" x14ac:dyDescent="0.2">
      <c r="B291" s="313" t="s">
        <v>105516</v>
      </c>
      <c r="C291" s="313" t="s">
        <v>105924</v>
      </c>
      <c r="D291" s="313" t="s">
        <v>105520</v>
      </c>
      <c r="E291" s="313" t="s">
        <v>105573</v>
      </c>
      <c r="F291" s="313" t="s">
        <v>105553</v>
      </c>
      <c r="G291" s="313" t="s">
        <v>105544</v>
      </c>
      <c r="H291" s="165"/>
      <c r="I291" s="165"/>
      <c r="J291" s="381"/>
      <c r="K291" s="165"/>
      <c r="L291" s="166"/>
      <c r="M291" s="167" t="s">
        <v>107054</v>
      </c>
      <c r="N291" s="168"/>
      <c r="O291" s="168"/>
      <c r="P291" s="169"/>
      <c r="Q291" s="169"/>
      <c r="R291" s="170">
        <f>SUM(R292+R295)</f>
        <v>2721680000</v>
      </c>
      <c r="S291" s="170">
        <f>SUM(S292+S295)</f>
        <v>2757315059.7600002</v>
      </c>
      <c r="T291" s="170">
        <f>SUM(T292+T295)</f>
        <v>0</v>
      </c>
      <c r="U291" s="171"/>
      <c r="V291" s="171"/>
      <c r="W291" s="165"/>
      <c r="X291" s="170">
        <f t="shared" ref="X291:AI291" si="269">SUM(X292+X295)</f>
        <v>0</v>
      </c>
      <c r="Y291" s="170">
        <f t="shared" si="269"/>
        <v>0</v>
      </c>
      <c r="Z291" s="170">
        <f t="shared" si="269"/>
        <v>0</v>
      </c>
      <c r="AA291" s="170">
        <f t="shared" si="269"/>
        <v>0</v>
      </c>
      <c r="AB291" s="170">
        <f t="shared" si="269"/>
        <v>0</v>
      </c>
      <c r="AC291" s="170">
        <f t="shared" si="269"/>
        <v>0</v>
      </c>
      <c r="AD291" s="170">
        <f t="shared" si="269"/>
        <v>0</v>
      </c>
      <c r="AE291" s="170">
        <f t="shared" si="269"/>
        <v>0</v>
      </c>
      <c r="AF291" s="170">
        <f t="shared" si="269"/>
        <v>0</v>
      </c>
      <c r="AG291" s="170">
        <f t="shared" si="269"/>
        <v>0</v>
      </c>
      <c r="AH291" s="170">
        <f t="shared" si="269"/>
        <v>0</v>
      </c>
      <c r="AI291" s="170">
        <f t="shared" si="269"/>
        <v>0</v>
      </c>
      <c r="AJ291" s="548">
        <v>0</v>
      </c>
    </row>
    <row r="292" spans="1:36" x14ac:dyDescent="0.2">
      <c r="B292" s="77" t="s">
        <v>105516</v>
      </c>
      <c r="C292" s="77" t="s">
        <v>105924</v>
      </c>
      <c r="D292" s="77" t="s">
        <v>105520</v>
      </c>
      <c r="E292" s="77" t="s">
        <v>105573</v>
      </c>
      <c r="F292" s="77" t="s">
        <v>105553</v>
      </c>
      <c r="G292" s="77" t="s">
        <v>105544</v>
      </c>
      <c r="H292" s="77" t="s">
        <v>105573</v>
      </c>
      <c r="I292" s="77"/>
      <c r="J292" s="375"/>
      <c r="K292" s="77"/>
      <c r="L292" s="395"/>
      <c r="M292" s="79" t="s">
        <v>113148</v>
      </c>
      <c r="N292" s="80"/>
      <c r="O292" s="80"/>
      <c r="P292" s="81"/>
      <c r="Q292" s="81"/>
      <c r="R292" s="82">
        <f>SUM(R293:R294)</f>
        <v>332760000</v>
      </c>
      <c r="S292" s="82">
        <f>SUM(S293:S294)</f>
        <v>343623542</v>
      </c>
      <c r="T292" s="82">
        <f>SUM(T293:T294)</f>
        <v>0</v>
      </c>
      <c r="U292" s="83"/>
      <c r="V292" s="83"/>
      <c r="W292" s="118"/>
      <c r="X292" s="82">
        <f t="shared" ref="X292:AI292" si="270">SUM(X293:X294)</f>
        <v>0</v>
      </c>
      <c r="Y292" s="82">
        <f t="shared" si="270"/>
        <v>0</v>
      </c>
      <c r="Z292" s="82">
        <f t="shared" si="270"/>
        <v>0</v>
      </c>
      <c r="AA292" s="82">
        <f t="shared" si="270"/>
        <v>0</v>
      </c>
      <c r="AB292" s="82">
        <f t="shared" si="270"/>
        <v>0</v>
      </c>
      <c r="AC292" s="82">
        <f t="shared" si="270"/>
        <v>0</v>
      </c>
      <c r="AD292" s="82">
        <f t="shared" si="270"/>
        <v>0</v>
      </c>
      <c r="AE292" s="82">
        <f t="shared" si="270"/>
        <v>0</v>
      </c>
      <c r="AF292" s="82">
        <f t="shared" si="270"/>
        <v>0</v>
      </c>
      <c r="AG292" s="82">
        <f t="shared" si="270"/>
        <v>0</v>
      </c>
      <c r="AH292" s="82">
        <f t="shared" si="270"/>
        <v>0</v>
      </c>
      <c r="AI292" s="82">
        <f t="shared" si="270"/>
        <v>0</v>
      </c>
      <c r="AJ292" s="548">
        <v>0</v>
      </c>
    </row>
    <row r="293" spans="1:36" ht="45" x14ac:dyDescent="0.2">
      <c r="B293" s="85"/>
      <c r="C293" s="86"/>
      <c r="D293" s="86"/>
      <c r="E293" s="86"/>
      <c r="F293" s="86"/>
      <c r="G293" s="86"/>
      <c r="H293" s="86"/>
      <c r="I293" s="86"/>
      <c r="J293" s="86"/>
      <c r="K293" s="93" t="s">
        <v>112595</v>
      </c>
      <c r="L293" s="198">
        <v>92121500</v>
      </c>
      <c r="M293" s="89" t="s">
        <v>113540</v>
      </c>
      <c r="N293" s="90"/>
      <c r="O293" s="90"/>
      <c r="P293" s="91"/>
      <c r="Q293" s="127"/>
      <c r="R293" s="199">
        <v>221840000</v>
      </c>
      <c r="S293" s="528">
        <f>221840000+20596726-12613184</f>
        <v>229823542</v>
      </c>
      <c r="T293" s="442">
        <v>0</v>
      </c>
      <c r="U293" s="181" t="s">
        <v>106081</v>
      </c>
      <c r="V293" s="94"/>
      <c r="W293" s="93" t="s">
        <v>113000</v>
      </c>
      <c r="X293" s="557"/>
      <c r="Y293" s="557"/>
      <c r="Z293" s="557"/>
      <c r="AA293" s="557"/>
      <c r="AB293" s="557"/>
      <c r="AC293" s="557"/>
      <c r="AD293" s="557"/>
      <c r="AE293" s="557"/>
      <c r="AF293" s="557"/>
      <c r="AG293" s="557"/>
      <c r="AH293" s="557"/>
      <c r="AI293" s="557"/>
      <c r="AJ293" s="548">
        <v>0</v>
      </c>
    </row>
    <row r="294" spans="1:36" ht="45" x14ac:dyDescent="0.2">
      <c r="B294" s="133"/>
      <c r="C294" s="134"/>
      <c r="D294" s="134"/>
      <c r="E294" s="134"/>
      <c r="F294" s="134"/>
      <c r="G294" s="134"/>
      <c r="H294" s="134"/>
      <c r="I294" s="134"/>
      <c r="J294" s="134"/>
      <c r="K294" s="93" t="s">
        <v>112595</v>
      </c>
      <c r="L294" s="198">
        <v>92121500</v>
      </c>
      <c r="M294" s="89" t="s">
        <v>113702</v>
      </c>
      <c r="N294" s="90">
        <v>45838</v>
      </c>
      <c r="O294" s="90" t="s">
        <v>112997</v>
      </c>
      <c r="P294" s="91" t="s">
        <v>113007</v>
      </c>
      <c r="Q294" s="91" t="s">
        <v>112999</v>
      </c>
      <c r="R294" s="92">
        <f>R293/8*4</f>
        <v>110920000</v>
      </c>
      <c r="S294" s="528">
        <f>110920000+2880000</f>
        <v>113800000</v>
      </c>
      <c r="T294" s="430">
        <v>0</v>
      </c>
      <c r="U294" s="93" t="s">
        <v>105533</v>
      </c>
      <c r="V294" s="92">
        <f>CEILING(((R294/4*8)*1.05),10000)</f>
        <v>232940000</v>
      </c>
      <c r="W294" s="93" t="s">
        <v>113000</v>
      </c>
      <c r="X294" s="555"/>
      <c r="Y294" s="555"/>
      <c r="Z294" s="555"/>
      <c r="AA294" s="555"/>
      <c r="AB294" s="555"/>
      <c r="AC294" s="555"/>
      <c r="AD294" s="555"/>
      <c r="AE294" s="555"/>
      <c r="AF294" s="555"/>
      <c r="AG294" s="555"/>
      <c r="AH294" s="555"/>
      <c r="AI294" s="555"/>
      <c r="AJ294" s="548">
        <v>0</v>
      </c>
    </row>
    <row r="295" spans="1:36" x14ac:dyDescent="0.2">
      <c r="B295" s="77" t="s">
        <v>105516</v>
      </c>
      <c r="C295" s="77" t="s">
        <v>105924</v>
      </c>
      <c r="D295" s="77" t="s">
        <v>105520</v>
      </c>
      <c r="E295" s="77" t="s">
        <v>105573</v>
      </c>
      <c r="F295" s="77" t="s">
        <v>105553</v>
      </c>
      <c r="G295" s="77" t="s">
        <v>105544</v>
      </c>
      <c r="H295" s="77" t="s">
        <v>105675</v>
      </c>
      <c r="I295" s="77"/>
      <c r="J295" s="375"/>
      <c r="K295" s="77"/>
      <c r="L295" s="395"/>
      <c r="M295" s="79" t="s">
        <v>107060</v>
      </c>
      <c r="N295" s="80"/>
      <c r="O295" s="80" t="s">
        <v>112995</v>
      </c>
      <c r="P295" s="81"/>
      <c r="Q295" s="81"/>
      <c r="R295" s="82">
        <f>SUM(R296:R302)</f>
        <v>2388920000</v>
      </c>
      <c r="S295" s="82">
        <f t="shared" ref="S295" si="271">SUM(S296:S302)</f>
        <v>2413691517.7600002</v>
      </c>
      <c r="T295" s="82">
        <f>SUM(T296:T302)</f>
        <v>0</v>
      </c>
      <c r="U295" s="83"/>
      <c r="V295" s="352"/>
      <c r="W295" s="118"/>
      <c r="X295" s="82">
        <f t="shared" ref="X295:Y295" si="272">SUM(X296:X302)</f>
        <v>0</v>
      </c>
      <c r="Y295" s="82">
        <f t="shared" si="272"/>
        <v>0</v>
      </c>
      <c r="Z295" s="82">
        <f t="shared" ref="Z295:AC295" si="273">SUM(Z296:Z302)</f>
        <v>0</v>
      </c>
      <c r="AA295" s="82">
        <f t="shared" si="273"/>
        <v>0</v>
      </c>
      <c r="AB295" s="82">
        <f t="shared" si="273"/>
        <v>0</v>
      </c>
      <c r="AC295" s="82">
        <f t="shared" si="273"/>
        <v>0</v>
      </c>
      <c r="AD295" s="82">
        <f t="shared" ref="AD295:AI295" si="274">SUM(AD296:AD302)</f>
        <v>0</v>
      </c>
      <c r="AE295" s="82">
        <f t="shared" si="274"/>
        <v>0</v>
      </c>
      <c r="AF295" s="82">
        <f t="shared" si="274"/>
        <v>0</v>
      </c>
      <c r="AG295" s="82">
        <f t="shared" si="274"/>
        <v>0</v>
      </c>
      <c r="AH295" s="82">
        <f t="shared" si="274"/>
        <v>0</v>
      </c>
      <c r="AI295" s="82">
        <f t="shared" si="274"/>
        <v>0</v>
      </c>
      <c r="AJ295" s="548">
        <v>0</v>
      </c>
    </row>
    <row r="296" spans="1:36" ht="43.9" customHeight="1" x14ac:dyDescent="0.2">
      <c r="B296" s="85"/>
      <c r="C296" s="86"/>
      <c r="D296" s="86"/>
      <c r="E296" s="86"/>
      <c r="F296" s="86"/>
      <c r="G296" s="86"/>
      <c r="H296" s="86"/>
      <c r="I296" s="86"/>
      <c r="J296" s="86"/>
      <c r="K296" s="93" t="s">
        <v>112595</v>
      </c>
      <c r="L296" s="52">
        <v>76111500</v>
      </c>
      <c r="M296" s="89" t="s">
        <v>113542</v>
      </c>
      <c r="N296" s="90"/>
      <c r="O296" s="90"/>
      <c r="P296" s="91"/>
      <c r="Q296" s="127"/>
      <c r="R296" s="199">
        <v>1217040000</v>
      </c>
      <c r="S296" s="532">
        <f>1217040000+105210290.64-88204927.27</f>
        <v>1234045363.3700001</v>
      </c>
      <c r="T296" s="442">
        <v>0</v>
      </c>
      <c r="U296" s="181" t="s">
        <v>106081</v>
      </c>
      <c r="V296" s="94"/>
      <c r="W296" s="93" t="s">
        <v>113000</v>
      </c>
      <c r="X296" s="557"/>
      <c r="Y296" s="557"/>
      <c r="Z296" s="557"/>
      <c r="AA296" s="557"/>
      <c r="AB296" s="557"/>
      <c r="AC296" s="557"/>
      <c r="AD296" s="557"/>
      <c r="AE296" s="557"/>
      <c r="AF296" s="557"/>
      <c r="AG296" s="557"/>
      <c r="AH296" s="557"/>
      <c r="AI296" s="557"/>
      <c r="AJ296" s="548">
        <v>0</v>
      </c>
    </row>
    <row r="297" spans="1:36" ht="45" x14ac:dyDescent="0.2">
      <c r="B297" s="133"/>
      <c r="C297" s="134"/>
      <c r="D297" s="134"/>
      <c r="E297" s="134"/>
      <c r="F297" s="134"/>
      <c r="G297" s="134"/>
      <c r="H297" s="134"/>
      <c r="I297" s="134"/>
      <c r="J297" s="134"/>
      <c r="K297" s="93" t="s">
        <v>112595</v>
      </c>
      <c r="L297" s="52">
        <v>76111500</v>
      </c>
      <c r="M297" s="89" t="s">
        <v>113703</v>
      </c>
      <c r="N297" s="90">
        <v>45838</v>
      </c>
      <c r="O297" s="90" t="s">
        <v>112997</v>
      </c>
      <c r="P297" s="91" t="s">
        <v>113007</v>
      </c>
      <c r="Q297" s="91" t="s">
        <v>113038</v>
      </c>
      <c r="R297" s="92">
        <f>R296/8*4</f>
        <v>608520000</v>
      </c>
      <c r="S297" s="528">
        <v>608520000</v>
      </c>
      <c r="T297" s="442">
        <v>0</v>
      </c>
      <c r="U297" s="93" t="s">
        <v>105533</v>
      </c>
      <c r="V297" s="92">
        <f>CEILING(((R297/4*8)*1.05),10000)</f>
        <v>1277900000</v>
      </c>
      <c r="W297" s="93" t="s">
        <v>113000</v>
      </c>
      <c r="X297" s="555"/>
      <c r="Y297" s="555"/>
      <c r="Z297" s="555"/>
      <c r="AA297" s="555"/>
      <c r="AB297" s="555"/>
      <c r="AC297" s="555"/>
      <c r="AD297" s="555"/>
      <c r="AE297" s="555"/>
      <c r="AF297" s="555"/>
      <c r="AG297" s="555"/>
      <c r="AH297" s="555"/>
      <c r="AI297" s="555"/>
      <c r="AJ297" s="548">
        <v>0</v>
      </c>
    </row>
    <row r="298" spans="1:36" ht="45" x14ac:dyDescent="0.2">
      <c r="B298" s="133"/>
      <c r="C298" s="134"/>
      <c r="D298" s="134"/>
      <c r="E298" s="134"/>
      <c r="F298" s="134"/>
      <c r="G298" s="134"/>
      <c r="H298" s="134"/>
      <c r="I298" s="134"/>
      <c r="J298" s="134"/>
      <c r="K298" s="93" t="s">
        <v>112595</v>
      </c>
      <c r="L298" s="52">
        <v>76111500</v>
      </c>
      <c r="M298" s="89" t="s">
        <v>113544</v>
      </c>
      <c r="N298" s="90"/>
      <c r="O298" s="90"/>
      <c r="P298" s="127"/>
      <c r="Q298" s="91"/>
      <c r="R298" s="92">
        <v>224240000</v>
      </c>
      <c r="S298" s="528">
        <f>224240000+19588528.82-11822374.43</f>
        <v>232006154.38999999</v>
      </c>
      <c r="T298" s="442">
        <v>0</v>
      </c>
      <c r="U298" s="93" t="s">
        <v>106081</v>
      </c>
      <c r="V298" s="200"/>
      <c r="W298" s="93"/>
      <c r="X298" s="555"/>
      <c r="Y298" s="555"/>
      <c r="Z298" s="555"/>
      <c r="AA298" s="555"/>
      <c r="AB298" s="555"/>
      <c r="AC298" s="555"/>
      <c r="AD298" s="555"/>
      <c r="AE298" s="555"/>
      <c r="AF298" s="555"/>
      <c r="AG298" s="555"/>
      <c r="AH298" s="555"/>
      <c r="AI298" s="555"/>
      <c r="AJ298" s="548">
        <v>0</v>
      </c>
    </row>
    <row r="299" spans="1:36" ht="45" x14ac:dyDescent="0.2">
      <c r="B299" s="133"/>
      <c r="C299" s="134"/>
      <c r="D299" s="134"/>
      <c r="E299" s="134"/>
      <c r="F299" s="134"/>
      <c r="G299" s="134"/>
      <c r="H299" s="134"/>
      <c r="I299" s="134"/>
      <c r="J299" s="134"/>
      <c r="K299" s="93" t="s">
        <v>112595</v>
      </c>
      <c r="L299" s="52">
        <v>76111500</v>
      </c>
      <c r="M299" s="89" t="s">
        <v>113704</v>
      </c>
      <c r="N299" s="90">
        <v>45838</v>
      </c>
      <c r="O299" s="90" t="s">
        <v>112997</v>
      </c>
      <c r="P299" s="91" t="s">
        <v>113007</v>
      </c>
      <c r="Q299" s="91" t="s">
        <v>113069</v>
      </c>
      <c r="R299" s="92">
        <f>R298/8*4</f>
        <v>112120000</v>
      </c>
      <c r="S299" s="528">
        <v>112120000</v>
      </c>
      <c r="T299" s="442">
        <v>0</v>
      </c>
      <c r="U299" s="93" t="s">
        <v>105533</v>
      </c>
      <c r="V299" s="92">
        <f>CEILING(((R299/4*8)*1.05),10000)</f>
        <v>235460000</v>
      </c>
      <c r="W299" s="93" t="s">
        <v>113000</v>
      </c>
      <c r="X299" s="555"/>
      <c r="Y299" s="555"/>
      <c r="Z299" s="555"/>
      <c r="AA299" s="555"/>
      <c r="AB299" s="555"/>
      <c r="AC299" s="555"/>
      <c r="AD299" s="555"/>
      <c r="AE299" s="555"/>
      <c r="AF299" s="555"/>
      <c r="AG299" s="555"/>
      <c r="AH299" s="555"/>
      <c r="AI299" s="555"/>
      <c r="AJ299" s="548">
        <v>0</v>
      </c>
    </row>
    <row r="300" spans="1:36" ht="45" x14ac:dyDescent="0.2">
      <c r="B300" s="133"/>
      <c r="C300" s="134"/>
      <c r="D300" s="134"/>
      <c r="E300" s="134"/>
      <c r="F300" s="134"/>
      <c r="G300" s="134"/>
      <c r="H300" s="134"/>
      <c r="I300" s="134"/>
      <c r="J300" s="134"/>
      <c r="K300" s="93" t="s">
        <v>112595</v>
      </c>
      <c r="L300" s="88" t="s">
        <v>113153</v>
      </c>
      <c r="M300" s="89" t="s">
        <v>113706</v>
      </c>
      <c r="N300" s="90">
        <v>45365</v>
      </c>
      <c r="O300" s="90" t="s">
        <v>113087</v>
      </c>
      <c r="P300" s="91" t="s">
        <v>113002</v>
      </c>
      <c r="Q300" s="91" t="s">
        <v>112999</v>
      </c>
      <c r="R300" s="114">
        <f>CEILING((60000000*1.12),1000000)</f>
        <v>68000000</v>
      </c>
      <c r="S300" s="528">
        <v>68000000</v>
      </c>
      <c r="T300" s="442">
        <v>0</v>
      </c>
      <c r="U300" s="93" t="s">
        <v>106081</v>
      </c>
      <c r="V300" s="94"/>
      <c r="W300" s="93" t="s">
        <v>113000</v>
      </c>
      <c r="X300" s="555"/>
      <c r="Y300" s="555"/>
      <c r="Z300" s="555"/>
      <c r="AA300" s="555"/>
      <c r="AB300" s="555"/>
      <c r="AC300" s="555"/>
      <c r="AD300" s="555"/>
      <c r="AE300" s="555"/>
      <c r="AF300" s="555"/>
      <c r="AG300" s="555"/>
      <c r="AH300" s="555"/>
      <c r="AI300" s="555"/>
      <c r="AJ300" s="548">
        <v>0</v>
      </c>
    </row>
    <row r="301" spans="1:36" ht="45" x14ac:dyDescent="0.2">
      <c r="B301" s="133"/>
      <c r="C301" s="134"/>
      <c r="D301" s="134"/>
      <c r="E301" s="134"/>
      <c r="F301" s="134"/>
      <c r="G301" s="134"/>
      <c r="H301" s="134"/>
      <c r="I301" s="134"/>
      <c r="J301" s="134"/>
      <c r="K301" s="93" t="s">
        <v>112595</v>
      </c>
      <c r="L301" s="52">
        <v>72102100</v>
      </c>
      <c r="M301" s="89" t="s">
        <v>113705</v>
      </c>
      <c r="N301" s="90">
        <v>45365</v>
      </c>
      <c r="O301" s="90" t="s">
        <v>113087</v>
      </c>
      <c r="P301" s="91" t="s">
        <v>113002</v>
      </c>
      <c r="Q301" s="91" t="s">
        <v>112999</v>
      </c>
      <c r="R301" s="114">
        <f>CEILING((150000000*1.06),10000)</f>
        <v>159000000</v>
      </c>
      <c r="S301" s="528">
        <v>159000000</v>
      </c>
      <c r="T301" s="442">
        <v>0</v>
      </c>
      <c r="U301" s="93" t="s">
        <v>106081</v>
      </c>
      <c r="V301" s="94"/>
      <c r="W301" s="93" t="s">
        <v>113000</v>
      </c>
      <c r="X301" s="555"/>
      <c r="Y301" s="555"/>
      <c r="Z301" s="555"/>
      <c r="AA301" s="555"/>
      <c r="AB301" s="555"/>
      <c r="AC301" s="555"/>
      <c r="AD301" s="555"/>
      <c r="AE301" s="555"/>
      <c r="AF301" s="555"/>
      <c r="AG301" s="555"/>
      <c r="AH301" s="555"/>
      <c r="AI301" s="555"/>
      <c r="AJ301" s="548">
        <v>0</v>
      </c>
    </row>
    <row r="302" spans="1:36" x14ac:dyDescent="0.2">
      <c r="B302" s="133"/>
      <c r="C302" s="134"/>
      <c r="D302" s="134"/>
      <c r="E302" s="134"/>
      <c r="F302" s="134"/>
      <c r="G302" s="134"/>
      <c r="H302" s="134"/>
      <c r="I302" s="134"/>
      <c r="J302" s="134"/>
      <c r="K302" s="93" t="s">
        <v>112595</v>
      </c>
      <c r="L302" s="52"/>
      <c r="M302" s="89"/>
      <c r="N302" s="90"/>
      <c r="O302" s="90"/>
      <c r="P302" s="91"/>
      <c r="Q302" s="91"/>
      <c r="R302" s="92"/>
      <c r="S302" s="528"/>
      <c r="T302" s="430"/>
      <c r="U302" s="93"/>
      <c r="V302" s="139"/>
      <c r="W302" s="93"/>
      <c r="X302" s="555"/>
      <c r="Y302" s="555"/>
      <c r="Z302" s="555"/>
      <c r="AA302" s="555"/>
      <c r="AB302" s="555"/>
      <c r="AC302" s="555"/>
      <c r="AD302" s="555"/>
      <c r="AE302" s="555"/>
      <c r="AF302" s="555"/>
      <c r="AG302" s="555"/>
      <c r="AH302" s="555"/>
      <c r="AI302" s="555"/>
      <c r="AJ302" s="548">
        <v>0</v>
      </c>
    </row>
    <row r="303" spans="1:36" ht="30" x14ac:dyDescent="0.2">
      <c r="B303" s="313" t="s">
        <v>105516</v>
      </c>
      <c r="C303" s="313" t="s">
        <v>105924</v>
      </c>
      <c r="D303" s="313" t="s">
        <v>105520</v>
      </c>
      <c r="E303" s="313" t="s">
        <v>105573</v>
      </c>
      <c r="F303" s="313" t="s">
        <v>105553</v>
      </c>
      <c r="G303" s="313" t="s">
        <v>105550</v>
      </c>
      <c r="H303" s="165"/>
      <c r="I303" s="165"/>
      <c r="J303" s="381"/>
      <c r="K303" s="165"/>
      <c r="L303" s="166"/>
      <c r="M303" s="167" t="s">
        <v>107092</v>
      </c>
      <c r="N303" s="168"/>
      <c r="O303" s="168" t="s">
        <v>112995</v>
      </c>
      <c r="P303" s="169"/>
      <c r="Q303" s="169"/>
      <c r="R303" s="170">
        <f t="shared" ref="R303:S304" si="275">+R304</f>
        <v>110000000</v>
      </c>
      <c r="S303" s="170">
        <f t="shared" si="275"/>
        <v>133000000</v>
      </c>
      <c r="T303" s="170">
        <f>+T304</f>
        <v>0</v>
      </c>
      <c r="U303" s="171"/>
      <c r="V303" s="171"/>
      <c r="W303" s="165"/>
      <c r="X303" s="170">
        <f t="shared" ref="X303:AI304" si="276">+X304</f>
        <v>0</v>
      </c>
      <c r="Y303" s="170">
        <f t="shared" si="276"/>
        <v>0</v>
      </c>
      <c r="Z303" s="170">
        <f t="shared" si="276"/>
        <v>0</v>
      </c>
      <c r="AA303" s="170">
        <f t="shared" si="276"/>
        <v>0</v>
      </c>
      <c r="AB303" s="170">
        <f t="shared" si="276"/>
        <v>0</v>
      </c>
      <c r="AC303" s="170">
        <f t="shared" si="276"/>
        <v>0</v>
      </c>
      <c r="AD303" s="170">
        <f t="shared" si="276"/>
        <v>0</v>
      </c>
      <c r="AE303" s="170">
        <f t="shared" si="276"/>
        <v>0</v>
      </c>
      <c r="AF303" s="170">
        <f t="shared" si="276"/>
        <v>0</v>
      </c>
      <c r="AG303" s="170">
        <f t="shared" si="276"/>
        <v>0</v>
      </c>
      <c r="AH303" s="170">
        <f t="shared" si="276"/>
        <v>0</v>
      </c>
      <c r="AI303" s="170">
        <f t="shared" si="276"/>
        <v>0</v>
      </c>
      <c r="AJ303" s="548">
        <v>0</v>
      </c>
    </row>
    <row r="304" spans="1:36" ht="30" x14ac:dyDescent="0.2">
      <c r="B304" s="77" t="s">
        <v>105516</v>
      </c>
      <c r="C304" s="77" t="s">
        <v>105924</v>
      </c>
      <c r="D304" s="77" t="s">
        <v>105520</v>
      </c>
      <c r="E304" s="77" t="s">
        <v>105573</v>
      </c>
      <c r="F304" s="77" t="s">
        <v>105553</v>
      </c>
      <c r="G304" s="77" t="s">
        <v>105550</v>
      </c>
      <c r="H304" s="77" t="s">
        <v>105520</v>
      </c>
      <c r="I304" s="77"/>
      <c r="J304" s="375"/>
      <c r="K304" s="77"/>
      <c r="L304" s="395"/>
      <c r="M304" s="79" t="s">
        <v>107094</v>
      </c>
      <c r="N304" s="80"/>
      <c r="O304" s="80" t="s">
        <v>112995</v>
      </c>
      <c r="P304" s="81"/>
      <c r="Q304" s="81"/>
      <c r="R304" s="82">
        <f t="shared" si="275"/>
        <v>110000000</v>
      </c>
      <c r="S304" s="82">
        <f t="shared" si="275"/>
        <v>133000000</v>
      </c>
      <c r="T304" s="82">
        <f>+T305</f>
        <v>0</v>
      </c>
      <c r="U304" s="83"/>
      <c r="V304" s="83"/>
      <c r="W304" s="118"/>
      <c r="X304" s="82">
        <f t="shared" si="276"/>
        <v>0</v>
      </c>
      <c r="Y304" s="82">
        <f t="shared" si="276"/>
        <v>0</v>
      </c>
      <c r="Z304" s="82">
        <f t="shared" si="276"/>
        <v>0</v>
      </c>
      <c r="AA304" s="82">
        <f t="shared" si="276"/>
        <v>0</v>
      </c>
      <c r="AB304" s="82">
        <f t="shared" si="276"/>
        <v>0</v>
      </c>
      <c r="AC304" s="82">
        <f t="shared" si="276"/>
        <v>0</v>
      </c>
      <c r="AD304" s="82">
        <f t="shared" si="276"/>
        <v>0</v>
      </c>
      <c r="AE304" s="82">
        <f t="shared" si="276"/>
        <v>0</v>
      </c>
      <c r="AF304" s="82">
        <f t="shared" si="276"/>
        <v>0</v>
      </c>
      <c r="AG304" s="82">
        <f t="shared" si="276"/>
        <v>0</v>
      </c>
      <c r="AH304" s="82">
        <f t="shared" si="276"/>
        <v>0</v>
      </c>
      <c r="AI304" s="82">
        <f t="shared" si="276"/>
        <v>0</v>
      </c>
      <c r="AJ304" s="548">
        <v>0</v>
      </c>
    </row>
    <row r="305" spans="2:36" ht="30" x14ac:dyDescent="0.2">
      <c r="B305" s="77" t="s">
        <v>105516</v>
      </c>
      <c r="C305" s="77" t="s">
        <v>105924</v>
      </c>
      <c r="D305" s="77" t="s">
        <v>105520</v>
      </c>
      <c r="E305" s="77" t="s">
        <v>105573</v>
      </c>
      <c r="F305" s="77" t="s">
        <v>105553</v>
      </c>
      <c r="G305" s="77" t="s">
        <v>105550</v>
      </c>
      <c r="H305" s="77" t="s">
        <v>105520</v>
      </c>
      <c r="I305" s="77" t="s">
        <v>106217</v>
      </c>
      <c r="J305" s="375"/>
      <c r="K305" s="77"/>
      <c r="L305" s="395"/>
      <c r="M305" s="79" t="s">
        <v>107104</v>
      </c>
      <c r="N305" s="80"/>
      <c r="O305" s="80" t="s">
        <v>112995</v>
      </c>
      <c r="P305" s="81"/>
      <c r="Q305" s="81"/>
      <c r="R305" s="82">
        <f>SUM(R306:R307)</f>
        <v>110000000</v>
      </c>
      <c r="S305" s="82">
        <f t="shared" ref="S305" si="277">SUM(S306:S307)</f>
        <v>133000000</v>
      </c>
      <c r="T305" s="82">
        <f>SUM(T306:T307)</f>
        <v>0</v>
      </c>
      <c r="U305" s="83"/>
      <c r="V305" s="83"/>
      <c r="W305" s="118"/>
      <c r="X305" s="82">
        <f t="shared" ref="X305:Y305" si="278">SUM(X306:X307)</f>
        <v>0</v>
      </c>
      <c r="Y305" s="82">
        <f t="shared" si="278"/>
        <v>0</v>
      </c>
      <c r="Z305" s="82">
        <f t="shared" ref="Z305:AC305" si="279">SUM(Z306:Z307)</f>
        <v>0</v>
      </c>
      <c r="AA305" s="82">
        <f t="shared" si="279"/>
        <v>0</v>
      </c>
      <c r="AB305" s="82">
        <f t="shared" si="279"/>
        <v>0</v>
      </c>
      <c r="AC305" s="82">
        <f t="shared" si="279"/>
        <v>0</v>
      </c>
      <c r="AD305" s="82">
        <f t="shared" ref="AD305:AI305" si="280">SUM(AD306:AD307)</f>
        <v>0</v>
      </c>
      <c r="AE305" s="82">
        <f t="shared" si="280"/>
        <v>0</v>
      </c>
      <c r="AF305" s="82">
        <f t="shared" si="280"/>
        <v>0</v>
      </c>
      <c r="AG305" s="82">
        <f t="shared" si="280"/>
        <v>0</v>
      </c>
      <c r="AH305" s="82">
        <f t="shared" si="280"/>
        <v>0</v>
      </c>
      <c r="AI305" s="82">
        <f t="shared" si="280"/>
        <v>0</v>
      </c>
      <c r="AJ305" s="548">
        <v>0</v>
      </c>
    </row>
    <row r="306" spans="2:36" ht="45" x14ac:dyDescent="0.2">
      <c r="B306" s="85"/>
      <c r="C306" s="86"/>
      <c r="D306" s="86"/>
      <c r="E306" s="86"/>
      <c r="F306" s="86"/>
      <c r="G306" s="86"/>
      <c r="H306" s="86"/>
      <c r="I306" s="86"/>
      <c r="J306" s="86"/>
      <c r="K306" s="93" t="s">
        <v>112614</v>
      </c>
      <c r="L306" s="88" t="s">
        <v>113244</v>
      </c>
      <c r="M306" s="99" t="s">
        <v>113713</v>
      </c>
      <c r="N306" s="90">
        <v>45839</v>
      </c>
      <c r="O306" s="90" t="s">
        <v>113010</v>
      </c>
      <c r="P306" s="91" t="s">
        <v>113155</v>
      </c>
      <c r="Q306" s="91" t="s">
        <v>113038</v>
      </c>
      <c r="R306" s="408">
        <v>80000000</v>
      </c>
      <c r="S306" s="528">
        <v>80000000</v>
      </c>
      <c r="T306" s="430">
        <v>0</v>
      </c>
      <c r="U306" s="93"/>
      <c r="V306" s="94"/>
      <c r="W306" s="93" t="s">
        <v>113019</v>
      </c>
      <c r="X306" s="555"/>
      <c r="Y306" s="555"/>
      <c r="Z306" s="555"/>
      <c r="AA306" s="555"/>
      <c r="AB306" s="555"/>
      <c r="AC306" s="555"/>
      <c r="AD306" s="555"/>
      <c r="AE306" s="555"/>
      <c r="AF306" s="555"/>
      <c r="AG306" s="555"/>
      <c r="AH306" s="555"/>
      <c r="AI306" s="555"/>
      <c r="AJ306" s="548">
        <v>0</v>
      </c>
    </row>
    <row r="307" spans="2:36" ht="45" x14ac:dyDescent="0.2">
      <c r="B307" s="85"/>
      <c r="C307" s="86"/>
      <c r="D307" s="86"/>
      <c r="E307" s="86"/>
      <c r="F307" s="86"/>
      <c r="G307" s="86"/>
      <c r="H307" s="86"/>
      <c r="I307" s="86"/>
      <c r="J307" s="86"/>
      <c r="K307" s="93" t="s">
        <v>112614</v>
      </c>
      <c r="L307" s="122">
        <v>73152100</v>
      </c>
      <c r="M307" s="116" t="s">
        <v>113157</v>
      </c>
      <c r="N307" s="90">
        <v>45838</v>
      </c>
      <c r="O307" s="90" t="s">
        <v>113546</v>
      </c>
      <c r="P307" s="91"/>
      <c r="Q307" s="91" t="s">
        <v>113007</v>
      </c>
      <c r="R307" s="521">
        <v>30000000</v>
      </c>
      <c r="S307" s="528">
        <v>53000000</v>
      </c>
      <c r="T307" s="430">
        <v>0</v>
      </c>
      <c r="U307" s="93"/>
      <c r="V307" s="94"/>
      <c r="W307" s="93" t="s">
        <v>113000</v>
      </c>
      <c r="X307" s="555"/>
      <c r="Y307" s="555"/>
      <c r="Z307" s="555"/>
      <c r="AA307" s="555"/>
      <c r="AB307" s="555"/>
      <c r="AC307" s="555"/>
      <c r="AD307" s="555"/>
      <c r="AE307" s="555"/>
      <c r="AF307" s="555"/>
      <c r="AG307" s="555"/>
      <c r="AH307" s="555"/>
      <c r="AI307" s="555"/>
      <c r="AJ307" s="548">
        <v>0</v>
      </c>
    </row>
    <row r="308" spans="2:36" x14ac:dyDescent="0.2">
      <c r="B308" s="60" t="s">
        <v>105516</v>
      </c>
      <c r="C308" s="60" t="s">
        <v>105924</v>
      </c>
      <c r="D308" s="60" t="s">
        <v>105520</v>
      </c>
      <c r="E308" s="60" t="s">
        <v>105573</v>
      </c>
      <c r="F308" s="60" t="s">
        <v>105556</v>
      </c>
      <c r="G308" s="60"/>
      <c r="H308" s="60"/>
      <c r="I308" s="60"/>
      <c r="J308" s="373"/>
      <c r="K308" s="248"/>
      <c r="L308" s="62"/>
      <c r="M308" s="63" t="s">
        <v>107164</v>
      </c>
      <c r="N308" s="64"/>
      <c r="O308" s="64"/>
      <c r="P308" s="65"/>
      <c r="Q308" s="65"/>
      <c r="R308" s="66">
        <f>R309</f>
        <v>0</v>
      </c>
      <c r="S308" s="66">
        <f t="shared" ref="S308" si="281">S309</f>
        <v>0</v>
      </c>
      <c r="T308" s="66">
        <f>T309</f>
        <v>0</v>
      </c>
      <c r="U308" s="67"/>
      <c r="V308" s="67"/>
      <c r="W308" s="248"/>
      <c r="X308" s="66">
        <f t="shared" ref="X308:AI308" si="282">X309</f>
        <v>0</v>
      </c>
      <c r="Y308" s="66">
        <f t="shared" si="282"/>
        <v>0</v>
      </c>
      <c r="Z308" s="66">
        <f t="shared" si="282"/>
        <v>0</v>
      </c>
      <c r="AA308" s="66">
        <f t="shared" si="282"/>
        <v>0</v>
      </c>
      <c r="AB308" s="66">
        <f t="shared" si="282"/>
        <v>0</v>
      </c>
      <c r="AC308" s="66">
        <f t="shared" si="282"/>
        <v>0</v>
      </c>
      <c r="AD308" s="66">
        <f t="shared" si="282"/>
        <v>0</v>
      </c>
      <c r="AE308" s="66">
        <f t="shared" si="282"/>
        <v>0</v>
      </c>
      <c r="AF308" s="66">
        <f t="shared" si="282"/>
        <v>0</v>
      </c>
      <c r="AG308" s="66">
        <f t="shared" si="282"/>
        <v>0</v>
      </c>
      <c r="AH308" s="66">
        <f t="shared" si="282"/>
        <v>0</v>
      </c>
      <c r="AI308" s="66">
        <f t="shared" si="282"/>
        <v>0</v>
      </c>
      <c r="AJ308" s="548">
        <v>0</v>
      </c>
    </row>
    <row r="309" spans="2:36" ht="45" x14ac:dyDescent="0.2">
      <c r="B309" s="313" t="s">
        <v>105516</v>
      </c>
      <c r="C309" s="313" t="s">
        <v>105924</v>
      </c>
      <c r="D309" s="313" t="s">
        <v>105520</v>
      </c>
      <c r="E309" s="313" t="s">
        <v>105573</v>
      </c>
      <c r="F309" s="313" t="s">
        <v>105556</v>
      </c>
      <c r="G309" s="313" t="s">
        <v>105541</v>
      </c>
      <c r="H309" s="165"/>
      <c r="I309" s="165"/>
      <c r="J309" s="381"/>
      <c r="K309" s="165"/>
      <c r="L309" s="166"/>
      <c r="M309" s="167" t="s">
        <v>107192</v>
      </c>
      <c r="N309" s="168"/>
      <c r="O309" s="168" t="s">
        <v>112995</v>
      </c>
      <c r="P309" s="169"/>
      <c r="Q309" s="169"/>
      <c r="R309" s="170">
        <f>+R310</f>
        <v>0</v>
      </c>
      <c r="S309" s="170">
        <f t="shared" ref="S309" si="283">+S310</f>
        <v>0</v>
      </c>
      <c r="T309" s="170">
        <f>+T310</f>
        <v>0</v>
      </c>
      <c r="U309" s="171"/>
      <c r="V309" s="171"/>
      <c r="W309" s="165"/>
      <c r="X309" s="170">
        <f t="shared" ref="X309:AI309" si="284">+X310</f>
        <v>0</v>
      </c>
      <c r="Y309" s="170">
        <f t="shared" si="284"/>
        <v>0</v>
      </c>
      <c r="Z309" s="170">
        <f t="shared" si="284"/>
        <v>0</v>
      </c>
      <c r="AA309" s="170">
        <f t="shared" si="284"/>
        <v>0</v>
      </c>
      <c r="AB309" s="170">
        <f t="shared" si="284"/>
        <v>0</v>
      </c>
      <c r="AC309" s="170">
        <f t="shared" si="284"/>
        <v>0</v>
      </c>
      <c r="AD309" s="170">
        <f t="shared" si="284"/>
        <v>0</v>
      </c>
      <c r="AE309" s="170">
        <f t="shared" si="284"/>
        <v>0</v>
      </c>
      <c r="AF309" s="170">
        <f t="shared" si="284"/>
        <v>0</v>
      </c>
      <c r="AG309" s="170">
        <f t="shared" si="284"/>
        <v>0</v>
      </c>
      <c r="AH309" s="170">
        <f t="shared" si="284"/>
        <v>0</v>
      </c>
      <c r="AI309" s="170">
        <f t="shared" si="284"/>
        <v>0</v>
      </c>
      <c r="AJ309" s="548">
        <v>0</v>
      </c>
    </row>
    <row r="310" spans="2:36" x14ac:dyDescent="0.2">
      <c r="B310" s="77" t="s">
        <v>105516</v>
      </c>
      <c r="C310" s="77" t="s">
        <v>105924</v>
      </c>
      <c r="D310" s="77" t="s">
        <v>105520</v>
      </c>
      <c r="E310" s="77" t="s">
        <v>105573</v>
      </c>
      <c r="F310" s="78" t="s">
        <v>105556</v>
      </c>
      <c r="G310" s="78" t="s">
        <v>105541</v>
      </c>
      <c r="H310" s="78" t="s">
        <v>106109</v>
      </c>
      <c r="I310" s="77"/>
      <c r="J310" s="375"/>
      <c r="K310" s="77"/>
      <c r="L310" s="395"/>
      <c r="M310" s="79" t="s">
        <v>107204</v>
      </c>
      <c r="N310" s="80"/>
      <c r="O310" s="80" t="s">
        <v>112995</v>
      </c>
      <c r="P310" s="81"/>
      <c r="Q310" s="81"/>
      <c r="R310" s="82">
        <f>R311</f>
        <v>0</v>
      </c>
      <c r="S310" s="82">
        <f t="shared" ref="S310" si="285">S311</f>
        <v>0</v>
      </c>
      <c r="T310" s="82">
        <f>T311</f>
        <v>0</v>
      </c>
      <c r="U310" s="83"/>
      <c r="V310" s="83"/>
      <c r="W310" s="118"/>
      <c r="X310" s="82">
        <f t="shared" ref="X310:AI310" si="286">X311</f>
        <v>0</v>
      </c>
      <c r="Y310" s="82">
        <f t="shared" si="286"/>
        <v>0</v>
      </c>
      <c r="Z310" s="82">
        <f t="shared" si="286"/>
        <v>0</v>
      </c>
      <c r="AA310" s="82">
        <f t="shared" si="286"/>
        <v>0</v>
      </c>
      <c r="AB310" s="82">
        <f t="shared" si="286"/>
        <v>0</v>
      </c>
      <c r="AC310" s="82">
        <f t="shared" si="286"/>
        <v>0</v>
      </c>
      <c r="AD310" s="82">
        <f t="shared" si="286"/>
        <v>0</v>
      </c>
      <c r="AE310" s="82">
        <f t="shared" si="286"/>
        <v>0</v>
      </c>
      <c r="AF310" s="82">
        <f t="shared" si="286"/>
        <v>0</v>
      </c>
      <c r="AG310" s="82">
        <f t="shared" si="286"/>
        <v>0</v>
      </c>
      <c r="AH310" s="82">
        <f t="shared" si="286"/>
        <v>0</v>
      </c>
      <c r="AI310" s="82">
        <f t="shared" si="286"/>
        <v>0</v>
      </c>
      <c r="AJ310" s="548">
        <v>0</v>
      </c>
    </row>
    <row r="311" spans="2:36" ht="60" x14ac:dyDescent="0.2">
      <c r="B311" s="85"/>
      <c r="C311" s="86"/>
      <c r="D311" s="86"/>
      <c r="E311" s="86"/>
      <c r="F311" s="86"/>
      <c r="G311" s="86"/>
      <c r="H311" s="86"/>
      <c r="I311" s="86"/>
      <c r="J311" s="86"/>
      <c r="K311" s="93" t="s">
        <v>112664</v>
      </c>
      <c r="L311" s="88" t="s">
        <v>113306</v>
      </c>
      <c r="M311" s="89" t="s">
        <v>113740</v>
      </c>
      <c r="N311" s="90">
        <v>45444</v>
      </c>
      <c r="O311" s="90" t="s">
        <v>113010</v>
      </c>
      <c r="P311" s="91" t="s">
        <v>113007</v>
      </c>
      <c r="Q311" s="91" t="s">
        <v>113052</v>
      </c>
      <c r="R311" s="92">
        <f>20000000-15134000-4866000</f>
        <v>0</v>
      </c>
      <c r="S311" s="101">
        <v>0</v>
      </c>
      <c r="T311" s="94">
        <v>0</v>
      </c>
      <c r="U311" s="93"/>
      <c r="V311" s="92"/>
      <c r="W311" s="93"/>
      <c r="X311" s="558">
        <v>0</v>
      </c>
      <c r="Y311" s="558">
        <v>0</v>
      </c>
      <c r="Z311" s="558">
        <v>0</v>
      </c>
      <c r="AA311" s="558">
        <v>0</v>
      </c>
      <c r="AB311" s="558">
        <v>0</v>
      </c>
      <c r="AC311" s="558">
        <v>0</v>
      </c>
      <c r="AD311" s="558">
        <v>0</v>
      </c>
      <c r="AE311" s="558">
        <v>0</v>
      </c>
      <c r="AF311" s="558">
        <v>0</v>
      </c>
      <c r="AG311" s="558">
        <v>0</v>
      </c>
      <c r="AH311" s="558">
        <v>0</v>
      </c>
      <c r="AI311" s="558">
        <v>0</v>
      </c>
      <c r="AJ311" s="548">
        <v>0</v>
      </c>
    </row>
    <row r="312" spans="2:36" ht="15.75" x14ac:dyDescent="0.2">
      <c r="B312" s="202" t="s">
        <v>105516</v>
      </c>
      <c r="C312" s="202" t="s">
        <v>106103</v>
      </c>
      <c r="D312" s="202"/>
      <c r="E312" s="202"/>
      <c r="F312" s="202"/>
      <c r="G312" s="202"/>
      <c r="H312" s="202"/>
      <c r="I312" s="202"/>
      <c r="J312" s="385"/>
      <c r="K312" s="363"/>
      <c r="L312" s="204"/>
      <c r="M312" s="205" t="s">
        <v>112750</v>
      </c>
      <c r="N312" s="206"/>
      <c r="O312" s="206" t="s">
        <v>112995</v>
      </c>
      <c r="P312" s="207"/>
      <c r="Q312" s="207"/>
      <c r="R312" s="208">
        <f>SUM(R313+R316)</f>
        <v>230000000</v>
      </c>
      <c r="S312" s="208">
        <f t="shared" ref="S312" si="287">SUM(S313+S316)</f>
        <v>5800000000</v>
      </c>
      <c r="T312" s="443">
        <f>T313+T316</f>
        <v>1978000000</v>
      </c>
      <c r="U312" s="209"/>
      <c r="V312" s="209"/>
      <c r="W312" s="363"/>
      <c r="X312" s="208">
        <f t="shared" ref="X312:Y312" si="288">SUM(X313+X316)</f>
        <v>0</v>
      </c>
      <c r="Y312" s="208">
        <f t="shared" si="288"/>
        <v>0</v>
      </c>
      <c r="Z312" s="208">
        <f t="shared" ref="Z312:AC312" si="289">SUM(Z313+Z316)</f>
        <v>0</v>
      </c>
      <c r="AA312" s="208">
        <f t="shared" si="289"/>
        <v>0</v>
      </c>
      <c r="AB312" s="208">
        <f t="shared" si="289"/>
        <v>0</v>
      </c>
      <c r="AC312" s="208">
        <f t="shared" si="289"/>
        <v>0</v>
      </c>
      <c r="AD312" s="208">
        <f t="shared" ref="AD312:AI312" si="290">SUM(AD313+AD316)</f>
        <v>0</v>
      </c>
      <c r="AE312" s="208">
        <f t="shared" si="290"/>
        <v>0</v>
      </c>
      <c r="AF312" s="208">
        <f t="shared" si="290"/>
        <v>0</v>
      </c>
      <c r="AG312" s="208">
        <f t="shared" si="290"/>
        <v>0</v>
      </c>
      <c r="AH312" s="208">
        <f t="shared" si="290"/>
        <v>0</v>
      </c>
      <c r="AI312" s="208">
        <f t="shared" si="290"/>
        <v>0</v>
      </c>
      <c r="AJ312" s="208">
        <f t="shared" ref="AJ312:AJ330" si="291">SUM(X312:AI312)-S312</f>
        <v>-5800000000</v>
      </c>
    </row>
    <row r="313" spans="2:36" ht="15.75" x14ac:dyDescent="0.2">
      <c r="B313" s="211" t="s">
        <v>105516</v>
      </c>
      <c r="C313" s="211" t="s">
        <v>106103</v>
      </c>
      <c r="D313" s="211" t="s">
        <v>105520</v>
      </c>
      <c r="E313" s="211"/>
      <c r="F313" s="211"/>
      <c r="G313" s="211"/>
      <c r="H313" s="211"/>
      <c r="I313" s="211"/>
      <c r="J313" s="386"/>
      <c r="K313" s="211"/>
      <c r="L313" s="212"/>
      <c r="M313" s="213" t="s">
        <v>112752</v>
      </c>
      <c r="N313" s="214"/>
      <c r="O313" s="214" t="s">
        <v>112995</v>
      </c>
      <c r="P313" s="215"/>
      <c r="Q313" s="215"/>
      <c r="R313" s="216">
        <f>R314+R315</f>
        <v>230000000</v>
      </c>
      <c r="S313" s="216">
        <f t="shared" ref="S313" si="292">S314+S315</f>
        <v>200000000</v>
      </c>
      <c r="T313" s="444">
        <v>158000000</v>
      </c>
      <c r="U313" s="217"/>
      <c r="V313" s="217"/>
      <c r="W313" s="211"/>
      <c r="X313" s="216">
        <f t="shared" ref="X313:Y313" si="293">X314+X315</f>
        <v>0</v>
      </c>
      <c r="Y313" s="216">
        <f t="shared" si="293"/>
        <v>0</v>
      </c>
      <c r="Z313" s="216">
        <f t="shared" ref="Z313:AC313" si="294">Z314+Z315</f>
        <v>0</v>
      </c>
      <c r="AA313" s="216">
        <f t="shared" si="294"/>
        <v>0</v>
      </c>
      <c r="AB313" s="216">
        <f t="shared" si="294"/>
        <v>0</v>
      </c>
      <c r="AC313" s="216">
        <f t="shared" si="294"/>
        <v>0</v>
      </c>
      <c r="AD313" s="216">
        <f t="shared" ref="AD313:AI313" si="295">AD314+AD315</f>
        <v>0</v>
      </c>
      <c r="AE313" s="216">
        <f t="shared" si="295"/>
        <v>0</v>
      </c>
      <c r="AF313" s="216">
        <f t="shared" si="295"/>
        <v>0</v>
      </c>
      <c r="AG313" s="216">
        <f t="shared" si="295"/>
        <v>0</v>
      </c>
      <c r="AH313" s="216">
        <f t="shared" si="295"/>
        <v>0</v>
      </c>
      <c r="AI313" s="216">
        <f t="shared" si="295"/>
        <v>0</v>
      </c>
      <c r="AJ313" s="216">
        <f t="shared" si="291"/>
        <v>-200000000</v>
      </c>
    </row>
    <row r="314" spans="2:36" ht="15.75" x14ac:dyDescent="0.2">
      <c r="B314" s="219"/>
      <c r="C314" s="220"/>
      <c r="D314" s="220"/>
      <c r="E314" s="220"/>
      <c r="F314" s="220"/>
      <c r="G314" s="220"/>
      <c r="H314" s="220"/>
      <c r="I314" s="220"/>
      <c r="J314" s="220"/>
      <c r="K314" s="93" t="s">
        <v>112751</v>
      </c>
      <c r="L314" s="122"/>
      <c r="M314" s="99" t="s">
        <v>112754</v>
      </c>
      <c r="N314" s="91" t="s">
        <v>113031</v>
      </c>
      <c r="O314" s="91" t="s">
        <v>113031</v>
      </c>
      <c r="P314" s="91" t="s">
        <v>113031</v>
      </c>
      <c r="Q314" s="91" t="s">
        <v>113031</v>
      </c>
      <c r="R314" s="92">
        <v>150000000</v>
      </c>
      <c r="S314" s="528">
        <v>120000000</v>
      </c>
      <c r="T314" s="430">
        <v>60000000</v>
      </c>
      <c r="U314" s="93"/>
      <c r="V314" s="196"/>
      <c r="W314" s="357" t="s">
        <v>113012</v>
      </c>
      <c r="X314" s="555"/>
      <c r="Y314" s="555"/>
      <c r="Z314" s="555"/>
      <c r="AA314" s="555"/>
      <c r="AB314" s="555"/>
      <c r="AC314" s="555"/>
      <c r="AD314" s="555"/>
      <c r="AE314" s="555"/>
      <c r="AF314" s="555"/>
      <c r="AG314" s="555"/>
      <c r="AH314" s="555"/>
      <c r="AI314" s="555"/>
      <c r="AJ314" s="548">
        <v>0</v>
      </c>
    </row>
    <row r="315" spans="2:36" ht="15.75" x14ac:dyDescent="0.2">
      <c r="B315" s="219"/>
      <c r="C315" s="220"/>
      <c r="D315" s="220"/>
      <c r="E315" s="220"/>
      <c r="F315" s="220"/>
      <c r="G315" s="220"/>
      <c r="H315" s="220"/>
      <c r="I315" s="220"/>
      <c r="J315" s="220"/>
      <c r="K315" s="93" t="s">
        <v>112751</v>
      </c>
      <c r="L315" s="122"/>
      <c r="M315" s="99" t="s">
        <v>112756</v>
      </c>
      <c r="N315" s="91" t="s">
        <v>113031</v>
      </c>
      <c r="O315" s="91" t="s">
        <v>113031</v>
      </c>
      <c r="P315" s="91" t="s">
        <v>113031</v>
      </c>
      <c r="Q315" s="91" t="s">
        <v>113031</v>
      </c>
      <c r="R315" s="92">
        <v>80000000</v>
      </c>
      <c r="S315" s="528">
        <v>80000000</v>
      </c>
      <c r="T315" s="430">
        <v>98000000</v>
      </c>
      <c r="U315" s="93"/>
      <c r="V315" s="196"/>
      <c r="W315" s="357" t="s">
        <v>113012</v>
      </c>
      <c r="X315" s="555"/>
      <c r="Y315" s="555"/>
      <c r="Z315" s="555"/>
      <c r="AA315" s="555"/>
      <c r="AB315" s="555"/>
      <c r="AC315" s="555"/>
      <c r="AD315" s="555"/>
      <c r="AE315" s="555"/>
      <c r="AF315" s="555"/>
      <c r="AG315" s="555"/>
      <c r="AH315" s="555"/>
      <c r="AI315" s="555"/>
      <c r="AJ315" s="548">
        <v>0</v>
      </c>
    </row>
    <row r="316" spans="2:36" ht="15.75" x14ac:dyDescent="0.2">
      <c r="B316" s="211" t="s">
        <v>105516</v>
      </c>
      <c r="C316" s="211" t="s">
        <v>106103</v>
      </c>
      <c r="D316" s="211" t="s">
        <v>105675</v>
      </c>
      <c r="E316" s="211"/>
      <c r="F316" s="211"/>
      <c r="G316" s="211"/>
      <c r="H316" s="211"/>
      <c r="I316" s="211"/>
      <c r="J316" s="386"/>
      <c r="K316" s="211"/>
      <c r="L316" s="212"/>
      <c r="M316" s="213" t="s">
        <v>112762</v>
      </c>
      <c r="N316" s="214"/>
      <c r="O316" s="214" t="s">
        <v>112995</v>
      </c>
      <c r="P316" s="215"/>
      <c r="Q316" s="215"/>
      <c r="R316" s="216">
        <f>+R317</f>
        <v>0</v>
      </c>
      <c r="S316" s="332">
        <f>+S317</f>
        <v>5600000000</v>
      </c>
      <c r="T316" s="444">
        <v>1820000000</v>
      </c>
      <c r="U316" s="217"/>
      <c r="V316" s="217"/>
      <c r="W316" s="211"/>
      <c r="X316" s="332">
        <f t="shared" ref="X316:AI316" si="296">+X317</f>
        <v>0</v>
      </c>
      <c r="Y316" s="332">
        <f t="shared" si="296"/>
        <v>0</v>
      </c>
      <c r="Z316" s="332">
        <f t="shared" si="296"/>
        <v>0</v>
      </c>
      <c r="AA316" s="332">
        <f t="shared" si="296"/>
        <v>0</v>
      </c>
      <c r="AB316" s="332">
        <f t="shared" si="296"/>
        <v>0</v>
      </c>
      <c r="AC316" s="332">
        <f t="shared" si="296"/>
        <v>0</v>
      </c>
      <c r="AD316" s="332">
        <f t="shared" si="296"/>
        <v>0</v>
      </c>
      <c r="AE316" s="332">
        <f t="shared" si="296"/>
        <v>0</v>
      </c>
      <c r="AF316" s="332">
        <f t="shared" si="296"/>
        <v>0</v>
      </c>
      <c r="AG316" s="332">
        <f t="shared" si="296"/>
        <v>0</v>
      </c>
      <c r="AH316" s="332">
        <f t="shared" si="296"/>
        <v>0</v>
      </c>
      <c r="AI316" s="332">
        <f t="shared" si="296"/>
        <v>0</v>
      </c>
      <c r="AJ316" s="332">
        <f t="shared" si="291"/>
        <v>-5600000000</v>
      </c>
    </row>
    <row r="317" spans="2:36" ht="15.75" x14ac:dyDescent="0.2">
      <c r="B317" s="219"/>
      <c r="C317" s="220"/>
      <c r="D317" s="220"/>
      <c r="E317" s="220"/>
      <c r="F317" s="220"/>
      <c r="G317" s="220"/>
      <c r="H317" s="220"/>
      <c r="I317" s="220"/>
      <c r="J317" s="220"/>
      <c r="K317" s="93" t="s">
        <v>112761</v>
      </c>
      <c r="L317" s="122"/>
      <c r="M317" s="99" t="s">
        <v>113812</v>
      </c>
      <c r="N317" s="91"/>
      <c r="O317" s="91"/>
      <c r="P317" s="91"/>
      <c r="Q317" s="91"/>
      <c r="R317" s="92"/>
      <c r="S317" s="528">
        <v>5600000000</v>
      </c>
      <c r="T317" s="430"/>
      <c r="U317" s="93"/>
      <c r="V317" s="196"/>
      <c r="W317" s="195"/>
      <c r="X317" s="555"/>
      <c r="Y317" s="555"/>
      <c r="Z317" s="555"/>
      <c r="AA317" s="555"/>
      <c r="AB317" s="555"/>
      <c r="AC317" s="555"/>
      <c r="AD317" s="555"/>
      <c r="AE317" s="555"/>
      <c r="AF317" s="555"/>
      <c r="AG317" s="555"/>
      <c r="AH317" s="555"/>
      <c r="AI317" s="555"/>
      <c r="AJ317" s="548">
        <v>0</v>
      </c>
    </row>
    <row r="318" spans="2:36" ht="15.75" x14ac:dyDescent="0.2">
      <c r="B318" s="223" t="s">
        <v>105516</v>
      </c>
      <c r="C318" s="223" t="s">
        <v>106106</v>
      </c>
      <c r="D318" s="223"/>
      <c r="E318" s="223"/>
      <c r="F318" s="223"/>
      <c r="G318" s="223"/>
      <c r="H318" s="223"/>
      <c r="I318" s="223"/>
      <c r="J318" s="387"/>
      <c r="K318" s="364"/>
      <c r="L318" s="225"/>
      <c r="M318" s="226" t="s">
        <v>112766</v>
      </c>
      <c r="N318" s="227"/>
      <c r="O318" s="227" t="s">
        <v>112995</v>
      </c>
      <c r="P318" s="228"/>
      <c r="Q318" s="228"/>
      <c r="R318" s="229">
        <f>SUM(R319+R327+R330)</f>
        <v>3804214242</v>
      </c>
      <c r="S318" s="229">
        <f t="shared" ref="S318" si="297">SUM(S319+S327+S330)</f>
        <v>4535000000</v>
      </c>
      <c r="T318" s="445">
        <f>T319+T327+T330</f>
        <v>3821000000</v>
      </c>
      <c r="U318" s="230"/>
      <c r="V318" s="230"/>
      <c r="W318" s="364"/>
      <c r="X318" s="229">
        <f t="shared" ref="X318:Y318" si="298">SUM(X319+X327+X330)</f>
        <v>0</v>
      </c>
      <c r="Y318" s="229">
        <f t="shared" si="298"/>
        <v>3200000000</v>
      </c>
      <c r="Z318" s="229">
        <f t="shared" ref="Z318:AC318" si="299">SUM(Z319+Z327+Z330)</f>
        <v>600000000</v>
      </c>
      <c r="AA318" s="229">
        <f t="shared" si="299"/>
        <v>0</v>
      </c>
      <c r="AB318" s="229">
        <f t="shared" si="299"/>
        <v>0</v>
      </c>
      <c r="AC318" s="229">
        <f t="shared" si="299"/>
        <v>0</v>
      </c>
      <c r="AD318" s="229">
        <f t="shared" ref="AD318:AI318" si="300">SUM(AD319+AD327+AD330)</f>
        <v>0</v>
      </c>
      <c r="AE318" s="229">
        <f t="shared" si="300"/>
        <v>0</v>
      </c>
      <c r="AF318" s="229">
        <f t="shared" si="300"/>
        <v>0</v>
      </c>
      <c r="AG318" s="229">
        <f t="shared" si="300"/>
        <v>0</v>
      </c>
      <c r="AH318" s="229">
        <f t="shared" si="300"/>
        <v>0</v>
      </c>
      <c r="AI318" s="229">
        <f t="shared" si="300"/>
        <v>0</v>
      </c>
      <c r="AJ318" s="229">
        <f t="shared" si="291"/>
        <v>-735000000</v>
      </c>
    </row>
    <row r="319" spans="2:36" ht="15.75" x14ac:dyDescent="0.2">
      <c r="B319" s="232" t="s">
        <v>105516</v>
      </c>
      <c r="C319" s="232" t="s">
        <v>106106</v>
      </c>
      <c r="D319" s="232" t="s">
        <v>105520</v>
      </c>
      <c r="E319" s="232"/>
      <c r="F319" s="232"/>
      <c r="G319" s="232"/>
      <c r="H319" s="232"/>
      <c r="I319" s="232"/>
      <c r="J319" s="388"/>
      <c r="K319" s="232"/>
      <c r="L319" s="233"/>
      <c r="M319" s="234" t="s">
        <v>112768</v>
      </c>
      <c r="N319" s="235"/>
      <c r="O319" s="235" t="s">
        <v>112995</v>
      </c>
      <c r="P319" s="236"/>
      <c r="Q319" s="236"/>
      <c r="R319" s="237">
        <f>+R320</f>
        <v>3804214242</v>
      </c>
      <c r="S319" s="237">
        <f t="shared" ref="S319" si="301">+S320</f>
        <v>4100000000</v>
      </c>
      <c r="T319" s="446">
        <f>T320</f>
        <v>3586000000</v>
      </c>
      <c r="U319" s="238"/>
      <c r="V319" s="238"/>
      <c r="W319" s="232"/>
      <c r="X319" s="237">
        <f t="shared" ref="X319:AI319" si="302">+X320</f>
        <v>0</v>
      </c>
      <c r="Y319" s="237">
        <f t="shared" si="302"/>
        <v>3200000000</v>
      </c>
      <c r="Z319" s="237">
        <f t="shared" si="302"/>
        <v>600000000</v>
      </c>
      <c r="AA319" s="237">
        <f t="shared" si="302"/>
        <v>0</v>
      </c>
      <c r="AB319" s="237">
        <f t="shared" si="302"/>
        <v>0</v>
      </c>
      <c r="AC319" s="237">
        <f t="shared" si="302"/>
        <v>0</v>
      </c>
      <c r="AD319" s="237">
        <f t="shared" si="302"/>
        <v>0</v>
      </c>
      <c r="AE319" s="237">
        <f t="shared" si="302"/>
        <v>0</v>
      </c>
      <c r="AF319" s="237">
        <f t="shared" si="302"/>
        <v>0</v>
      </c>
      <c r="AG319" s="237">
        <f t="shared" si="302"/>
        <v>0</v>
      </c>
      <c r="AH319" s="237">
        <f t="shared" si="302"/>
        <v>0</v>
      </c>
      <c r="AI319" s="237">
        <f t="shared" si="302"/>
        <v>0</v>
      </c>
      <c r="AJ319" s="237">
        <f t="shared" si="291"/>
        <v>-300000000</v>
      </c>
    </row>
    <row r="320" spans="2:36" x14ac:dyDescent="0.2">
      <c r="B320" s="240" t="s">
        <v>105516</v>
      </c>
      <c r="C320" s="240" t="s">
        <v>106106</v>
      </c>
      <c r="D320" s="240" t="s">
        <v>105520</v>
      </c>
      <c r="E320" s="240" t="s">
        <v>105573</v>
      </c>
      <c r="F320" s="240"/>
      <c r="G320" s="240"/>
      <c r="H320" s="240"/>
      <c r="I320" s="240"/>
      <c r="J320" s="389"/>
      <c r="K320" s="240"/>
      <c r="L320" s="241"/>
      <c r="M320" s="242" t="s">
        <v>112780</v>
      </c>
      <c r="N320" s="243"/>
      <c r="O320" s="243" t="s">
        <v>112995</v>
      </c>
      <c r="P320" s="244"/>
      <c r="Q320" s="244"/>
      <c r="R320" s="245">
        <f>+R321+R323+R325</f>
        <v>3804214242</v>
      </c>
      <c r="S320" s="245">
        <f t="shared" ref="S320" si="303">+S321+S323+S325</f>
        <v>4100000000</v>
      </c>
      <c r="T320" s="447">
        <f>T321+T323+T325</f>
        <v>3586000000</v>
      </c>
      <c r="U320" s="246"/>
      <c r="V320" s="246"/>
      <c r="W320" s="240"/>
      <c r="X320" s="245">
        <f t="shared" ref="X320:Y320" si="304">+X321+X323+X325</f>
        <v>0</v>
      </c>
      <c r="Y320" s="245">
        <f t="shared" si="304"/>
        <v>3200000000</v>
      </c>
      <c r="Z320" s="245">
        <f t="shared" ref="Z320:AC320" si="305">+Z321+Z323+Z325</f>
        <v>600000000</v>
      </c>
      <c r="AA320" s="245">
        <f t="shared" si="305"/>
        <v>0</v>
      </c>
      <c r="AB320" s="245">
        <f t="shared" si="305"/>
        <v>0</v>
      </c>
      <c r="AC320" s="245">
        <f t="shared" si="305"/>
        <v>0</v>
      </c>
      <c r="AD320" s="245">
        <f t="shared" ref="AD320:AI320" si="306">+AD321+AD323+AD325</f>
        <v>0</v>
      </c>
      <c r="AE320" s="245">
        <f t="shared" si="306"/>
        <v>0</v>
      </c>
      <c r="AF320" s="245">
        <f t="shared" si="306"/>
        <v>0</v>
      </c>
      <c r="AG320" s="245">
        <f t="shared" si="306"/>
        <v>0</v>
      </c>
      <c r="AH320" s="245">
        <f t="shared" si="306"/>
        <v>0</v>
      </c>
      <c r="AI320" s="245">
        <f t="shared" si="306"/>
        <v>0</v>
      </c>
      <c r="AJ320" s="548">
        <v>0</v>
      </c>
    </row>
    <row r="321" spans="2:36" x14ac:dyDescent="0.2">
      <c r="B321" s="248" t="s">
        <v>105516</v>
      </c>
      <c r="C321" s="248" t="s">
        <v>106106</v>
      </c>
      <c r="D321" s="248" t="s">
        <v>105520</v>
      </c>
      <c r="E321" s="248" t="s">
        <v>105573</v>
      </c>
      <c r="F321" s="248" t="s">
        <v>105528</v>
      </c>
      <c r="G321" s="248"/>
      <c r="H321" s="248"/>
      <c r="I321" s="248"/>
      <c r="J321" s="390"/>
      <c r="K321" s="248"/>
      <c r="L321" s="62"/>
      <c r="M321" s="63" t="s">
        <v>112782</v>
      </c>
      <c r="N321" s="64"/>
      <c r="O321" s="64" t="s">
        <v>112995</v>
      </c>
      <c r="P321" s="65"/>
      <c r="Q321" s="65"/>
      <c r="R321" s="66">
        <f>+R322</f>
        <v>3804214242</v>
      </c>
      <c r="S321" s="66">
        <f t="shared" ref="S321" si="307">+S322</f>
        <v>3800000000</v>
      </c>
      <c r="T321" s="427">
        <v>3492000000</v>
      </c>
      <c r="U321" s="67"/>
      <c r="V321" s="67"/>
      <c r="W321" s="248"/>
      <c r="X321" s="66">
        <f t="shared" ref="X321:AI321" si="308">+X322</f>
        <v>0</v>
      </c>
      <c r="Y321" s="66">
        <f t="shared" si="308"/>
        <v>3200000000</v>
      </c>
      <c r="Z321" s="66">
        <f t="shared" si="308"/>
        <v>600000000</v>
      </c>
      <c r="AA321" s="66">
        <f t="shared" si="308"/>
        <v>0</v>
      </c>
      <c r="AB321" s="66">
        <f t="shared" si="308"/>
        <v>0</v>
      </c>
      <c r="AC321" s="66">
        <f t="shared" si="308"/>
        <v>0</v>
      </c>
      <c r="AD321" s="66">
        <f t="shared" si="308"/>
        <v>0</v>
      </c>
      <c r="AE321" s="66">
        <f t="shared" si="308"/>
        <v>0</v>
      </c>
      <c r="AF321" s="66">
        <f t="shared" si="308"/>
        <v>0</v>
      </c>
      <c r="AG321" s="66">
        <f t="shared" si="308"/>
        <v>0</v>
      </c>
      <c r="AH321" s="66">
        <f t="shared" si="308"/>
        <v>0</v>
      </c>
      <c r="AI321" s="66">
        <f t="shared" si="308"/>
        <v>0</v>
      </c>
      <c r="AJ321" s="548">
        <v>0</v>
      </c>
    </row>
    <row r="322" spans="2:36" x14ac:dyDescent="0.2">
      <c r="B322" s="85"/>
      <c r="C322" s="86"/>
      <c r="D322" s="86"/>
      <c r="E322" s="86"/>
      <c r="F322" s="86"/>
      <c r="G322" s="86"/>
      <c r="H322" s="86"/>
      <c r="I322" s="86"/>
      <c r="J322" s="86"/>
      <c r="K322" s="93" t="s">
        <v>112781</v>
      </c>
      <c r="L322" s="249"/>
      <c r="M322" s="89" t="s">
        <v>112782</v>
      </c>
      <c r="N322" s="91"/>
      <c r="O322" s="91"/>
      <c r="P322" s="91"/>
      <c r="Q322" s="91"/>
      <c r="R322" s="199">
        <v>3804214242</v>
      </c>
      <c r="S322" s="199">
        <v>3800000000</v>
      </c>
      <c r="T322" s="199">
        <f>3492000000-15256052</f>
        <v>3476743948</v>
      </c>
      <c r="U322" s="93"/>
      <c r="V322" s="250"/>
      <c r="W322" s="195"/>
      <c r="X322" s="559">
        <v>0</v>
      </c>
      <c r="Y322" s="559">
        <v>3200000000</v>
      </c>
      <c r="Z322" s="559">
        <v>600000000</v>
      </c>
      <c r="AA322" s="559"/>
      <c r="AB322" s="559"/>
      <c r="AC322" s="559"/>
      <c r="AD322" s="559"/>
      <c r="AE322" s="559"/>
      <c r="AF322" s="559"/>
      <c r="AG322" s="559"/>
      <c r="AH322" s="559"/>
      <c r="AI322" s="559"/>
      <c r="AJ322" s="548">
        <v>0</v>
      </c>
    </row>
    <row r="323" spans="2:36" x14ac:dyDescent="0.2">
      <c r="B323" s="248" t="s">
        <v>105516</v>
      </c>
      <c r="C323" s="248" t="s">
        <v>106106</v>
      </c>
      <c r="D323" s="248" t="s">
        <v>105520</v>
      </c>
      <c r="E323" s="248" t="s">
        <v>105573</v>
      </c>
      <c r="F323" s="248" t="s">
        <v>105538</v>
      </c>
      <c r="G323" s="248"/>
      <c r="H323" s="248"/>
      <c r="I323" s="248"/>
      <c r="J323" s="390"/>
      <c r="K323" s="248"/>
      <c r="L323" s="62"/>
      <c r="M323" s="63" t="s">
        <v>112786</v>
      </c>
      <c r="N323" s="64"/>
      <c r="O323" s="64" t="s">
        <v>112995</v>
      </c>
      <c r="P323" s="65"/>
      <c r="Q323" s="65"/>
      <c r="R323" s="66">
        <f>+R324</f>
        <v>0</v>
      </c>
      <c r="S323" s="66">
        <f t="shared" ref="S323" si="309">+S324</f>
        <v>296000000</v>
      </c>
      <c r="T323" s="427">
        <v>90000000</v>
      </c>
      <c r="U323" s="67"/>
      <c r="V323" s="67"/>
      <c r="W323" s="248"/>
      <c r="X323" s="66">
        <f t="shared" ref="X323:AI323" si="310">+X324</f>
        <v>0</v>
      </c>
      <c r="Y323" s="66">
        <f t="shared" si="310"/>
        <v>0</v>
      </c>
      <c r="Z323" s="66">
        <f t="shared" si="310"/>
        <v>0</v>
      </c>
      <c r="AA323" s="66">
        <f t="shared" si="310"/>
        <v>0</v>
      </c>
      <c r="AB323" s="66">
        <f t="shared" si="310"/>
        <v>0</v>
      </c>
      <c r="AC323" s="66">
        <f t="shared" si="310"/>
        <v>0</v>
      </c>
      <c r="AD323" s="66">
        <f t="shared" si="310"/>
        <v>0</v>
      </c>
      <c r="AE323" s="66">
        <f t="shared" si="310"/>
        <v>0</v>
      </c>
      <c r="AF323" s="66">
        <f t="shared" si="310"/>
        <v>0</v>
      </c>
      <c r="AG323" s="66">
        <f t="shared" si="310"/>
        <v>0</v>
      </c>
      <c r="AH323" s="66">
        <f t="shared" si="310"/>
        <v>0</v>
      </c>
      <c r="AI323" s="66">
        <f t="shared" si="310"/>
        <v>0</v>
      </c>
      <c r="AJ323" s="548">
        <v>0</v>
      </c>
    </row>
    <row r="324" spans="2:36" x14ac:dyDescent="0.2">
      <c r="B324" s="85"/>
      <c r="C324" s="86"/>
      <c r="D324" s="86"/>
      <c r="E324" s="86"/>
      <c r="F324" s="86"/>
      <c r="G324" s="86"/>
      <c r="H324" s="86"/>
      <c r="I324" s="86"/>
      <c r="J324" s="86"/>
      <c r="K324" s="93" t="s">
        <v>112785</v>
      </c>
      <c r="L324" s="122"/>
      <c r="M324" s="89"/>
      <c r="N324" s="91"/>
      <c r="O324" s="91"/>
      <c r="P324" s="91"/>
      <c r="Q324" s="91"/>
      <c r="R324" s="92"/>
      <c r="S324" s="528">
        <v>296000000</v>
      </c>
      <c r="T324" s="430"/>
      <c r="U324" s="93"/>
      <c r="V324" s="94"/>
      <c r="W324" s="93"/>
      <c r="X324" s="555"/>
      <c r="Y324" s="555"/>
      <c r="Z324" s="555"/>
      <c r="AA324" s="555"/>
      <c r="AB324" s="555"/>
      <c r="AC324" s="555"/>
      <c r="AD324" s="555"/>
      <c r="AE324" s="555"/>
      <c r="AF324" s="555"/>
      <c r="AG324" s="555"/>
      <c r="AH324" s="555"/>
      <c r="AI324" s="555"/>
      <c r="AJ324" s="548">
        <v>0</v>
      </c>
    </row>
    <row r="325" spans="2:36" x14ac:dyDescent="0.2">
      <c r="B325" s="248" t="s">
        <v>105516</v>
      </c>
      <c r="C325" s="248" t="s">
        <v>106106</v>
      </c>
      <c r="D325" s="248" t="s">
        <v>105520</v>
      </c>
      <c r="E325" s="248" t="s">
        <v>105573</v>
      </c>
      <c r="F325" s="248" t="s">
        <v>105547</v>
      </c>
      <c r="G325" s="248"/>
      <c r="H325" s="248"/>
      <c r="I325" s="248"/>
      <c r="J325" s="390"/>
      <c r="K325" s="248"/>
      <c r="L325" s="62"/>
      <c r="M325" s="63" t="s">
        <v>112792</v>
      </c>
      <c r="N325" s="64"/>
      <c r="O325" s="64" t="s">
        <v>112995</v>
      </c>
      <c r="P325" s="65"/>
      <c r="Q325" s="65"/>
      <c r="R325" s="66">
        <f>+R326</f>
        <v>0</v>
      </c>
      <c r="S325" s="66">
        <f t="shared" ref="S325" si="311">+S326</f>
        <v>4000000</v>
      </c>
      <c r="T325" s="427">
        <v>4000000</v>
      </c>
      <c r="U325" s="67"/>
      <c r="V325" s="67"/>
      <c r="W325" s="248"/>
      <c r="X325" s="66">
        <f t="shared" ref="X325:AI325" si="312">+X326</f>
        <v>0</v>
      </c>
      <c r="Y325" s="66">
        <f t="shared" si="312"/>
        <v>0</v>
      </c>
      <c r="Z325" s="66">
        <f t="shared" si="312"/>
        <v>0</v>
      </c>
      <c r="AA325" s="66">
        <f t="shared" si="312"/>
        <v>0</v>
      </c>
      <c r="AB325" s="66">
        <f t="shared" si="312"/>
        <v>0</v>
      </c>
      <c r="AC325" s="66">
        <f t="shared" si="312"/>
        <v>0</v>
      </c>
      <c r="AD325" s="66">
        <f t="shared" si="312"/>
        <v>0</v>
      </c>
      <c r="AE325" s="66">
        <f t="shared" si="312"/>
        <v>0</v>
      </c>
      <c r="AF325" s="66">
        <f t="shared" si="312"/>
        <v>0</v>
      </c>
      <c r="AG325" s="66">
        <f t="shared" si="312"/>
        <v>0</v>
      </c>
      <c r="AH325" s="66">
        <f t="shared" si="312"/>
        <v>0</v>
      </c>
      <c r="AI325" s="66">
        <f t="shared" si="312"/>
        <v>0</v>
      </c>
      <c r="AJ325" s="548">
        <v>0</v>
      </c>
    </row>
    <row r="326" spans="2:36" x14ac:dyDescent="0.2">
      <c r="B326" s="85"/>
      <c r="C326" s="86"/>
      <c r="D326" s="86"/>
      <c r="E326" s="86"/>
      <c r="F326" s="86"/>
      <c r="G326" s="86"/>
      <c r="H326" s="86"/>
      <c r="I326" s="86"/>
      <c r="J326" s="86"/>
      <c r="K326" s="93" t="s">
        <v>112791</v>
      </c>
      <c r="L326" s="122"/>
      <c r="M326" s="89"/>
      <c r="N326" s="91"/>
      <c r="O326" s="91"/>
      <c r="P326" s="91"/>
      <c r="Q326" s="91"/>
      <c r="R326" s="92"/>
      <c r="S326" s="528">
        <v>4000000</v>
      </c>
      <c r="T326" s="430"/>
      <c r="U326" s="93"/>
      <c r="V326" s="94"/>
      <c r="W326" s="93"/>
      <c r="X326" s="555"/>
      <c r="Y326" s="555"/>
      <c r="Z326" s="555"/>
      <c r="AA326" s="555"/>
      <c r="AB326" s="555"/>
      <c r="AC326" s="555"/>
      <c r="AD326" s="555"/>
      <c r="AE326" s="555"/>
      <c r="AF326" s="555"/>
      <c r="AG326" s="555"/>
      <c r="AH326" s="555"/>
      <c r="AI326" s="555"/>
      <c r="AJ326" s="548">
        <v>0</v>
      </c>
    </row>
    <row r="327" spans="2:36" ht="15.75" x14ac:dyDescent="0.2">
      <c r="B327" s="232" t="s">
        <v>105516</v>
      </c>
      <c r="C327" s="232" t="s">
        <v>106106</v>
      </c>
      <c r="D327" s="232" t="s">
        <v>105917</v>
      </c>
      <c r="E327" s="232"/>
      <c r="F327" s="232"/>
      <c r="G327" s="232"/>
      <c r="H327" s="232"/>
      <c r="I327" s="232"/>
      <c r="J327" s="388"/>
      <c r="K327" s="232"/>
      <c r="L327" s="233"/>
      <c r="M327" s="234" t="s">
        <v>112804</v>
      </c>
      <c r="N327" s="235"/>
      <c r="O327" s="235" t="s">
        <v>112995</v>
      </c>
      <c r="P327" s="236"/>
      <c r="Q327" s="236"/>
      <c r="R327" s="237">
        <f>+R328+R329</f>
        <v>0</v>
      </c>
      <c r="S327" s="237">
        <f t="shared" ref="S327" si="313">+S328+S329</f>
        <v>382000000</v>
      </c>
      <c r="T327" s="446">
        <f>T328+T329</f>
        <v>182000000</v>
      </c>
      <c r="U327" s="238"/>
      <c r="V327" s="238"/>
      <c r="W327" s="232"/>
      <c r="X327" s="237">
        <f t="shared" ref="X327:Y327" si="314">+X328+X329</f>
        <v>0</v>
      </c>
      <c r="Y327" s="237">
        <f t="shared" si="314"/>
        <v>0</v>
      </c>
      <c r="Z327" s="237">
        <f t="shared" ref="Z327:AC327" si="315">+Z328+Z329</f>
        <v>0</v>
      </c>
      <c r="AA327" s="237">
        <f t="shared" si="315"/>
        <v>0</v>
      </c>
      <c r="AB327" s="237">
        <f t="shared" si="315"/>
        <v>0</v>
      </c>
      <c r="AC327" s="237">
        <f t="shared" si="315"/>
        <v>0</v>
      </c>
      <c r="AD327" s="237">
        <f t="shared" ref="AD327:AI327" si="316">+AD328+AD329</f>
        <v>0</v>
      </c>
      <c r="AE327" s="237">
        <f t="shared" si="316"/>
        <v>0</v>
      </c>
      <c r="AF327" s="237">
        <f t="shared" si="316"/>
        <v>0</v>
      </c>
      <c r="AG327" s="237">
        <f t="shared" si="316"/>
        <v>0</v>
      </c>
      <c r="AH327" s="237">
        <f t="shared" si="316"/>
        <v>0</v>
      </c>
      <c r="AI327" s="237">
        <f t="shared" si="316"/>
        <v>0</v>
      </c>
      <c r="AJ327" s="237">
        <f t="shared" si="291"/>
        <v>-382000000</v>
      </c>
    </row>
    <row r="328" spans="2:36" x14ac:dyDescent="0.2">
      <c r="B328" s="240" t="s">
        <v>105516</v>
      </c>
      <c r="C328" s="240" t="s">
        <v>106106</v>
      </c>
      <c r="D328" s="240" t="s">
        <v>105917</v>
      </c>
      <c r="E328" s="240" t="s">
        <v>105520</v>
      </c>
      <c r="F328" s="240"/>
      <c r="G328" s="240"/>
      <c r="H328" s="240"/>
      <c r="I328" s="240"/>
      <c r="J328" s="389"/>
      <c r="K328" s="240" t="s">
        <v>112805</v>
      </c>
      <c r="L328" s="241"/>
      <c r="M328" s="242" t="s">
        <v>112806</v>
      </c>
      <c r="N328" s="243" t="s">
        <v>112995</v>
      </c>
      <c r="O328" s="243" t="s">
        <v>113031</v>
      </c>
      <c r="P328" s="244"/>
      <c r="Q328" s="244"/>
      <c r="R328" s="252"/>
      <c r="S328" s="533">
        <v>136000000</v>
      </c>
      <c r="T328" s="448">
        <v>136000000</v>
      </c>
      <c r="U328" s="240"/>
      <c r="V328" s="253"/>
      <c r="W328" s="240"/>
      <c r="X328" s="533"/>
      <c r="Y328" s="533"/>
      <c r="Z328" s="533"/>
      <c r="AA328" s="533"/>
      <c r="AB328" s="533"/>
      <c r="AC328" s="533"/>
      <c r="AD328" s="533"/>
      <c r="AE328" s="533"/>
      <c r="AF328" s="533"/>
      <c r="AG328" s="533"/>
      <c r="AH328" s="533"/>
      <c r="AI328" s="533"/>
      <c r="AJ328" s="548">
        <v>0</v>
      </c>
    </row>
    <row r="329" spans="2:36" x14ac:dyDescent="0.2">
      <c r="B329" s="240" t="s">
        <v>105516</v>
      </c>
      <c r="C329" s="240" t="s">
        <v>106106</v>
      </c>
      <c r="D329" s="240" t="s">
        <v>105917</v>
      </c>
      <c r="E329" s="240" t="s">
        <v>105917</v>
      </c>
      <c r="F329" s="240"/>
      <c r="G329" s="240"/>
      <c r="H329" s="240"/>
      <c r="I329" s="240"/>
      <c r="J329" s="389"/>
      <c r="K329" s="240" t="s">
        <v>112811</v>
      </c>
      <c r="L329" s="241"/>
      <c r="M329" s="242" t="s">
        <v>113162</v>
      </c>
      <c r="N329" s="243"/>
      <c r="O329" s="243"/>
      <c r="P329" s="244"/>
      <c r="Q329" s="244"/>
      <c r="R329" s="252"/>
      <c r="S329" s="533">
        <v>246000000</v>
      </c>
      <c r="T329" s="448">
        <v>46000000</v>
      </c>
      <c r="U329" s="240"/>
      <c r="V329" s="253"/>
      <c r="W329" s="240"/>
      <c r="X329" s="533"/>
      <c r="Y329" s="533"/>
      <c r="Z329" s="533"/>
      <c r="AA329" s="533"/>
      <c r="AB329" s="533"/>
      <c r="AC329" s="533"/>
      <c r="AD329" s="533"/>
      <c r="AE329" s="533"/>
      <c r="AF329" s="533"/>
      <c r="AG329" s="533"/>
      <c r="AH329" s="533"/>
      <c r="AI329" s="533"/>
      <c r="AJ329" s="548">
        <v>0</v>
      </c>
    </row>
    <row r="330" spans="2:36" ht="15.75" x14ac:dyDescent="0.2">
      <c r="B330" s="232" t="s">
        <v>105516</v>
      </c>
      <c r="C330" s="232" t="s">
        <v>106106</v>
      </c>
      <c r="D330" s="254" t="s">
        <v>105924</v>
      </c>
      <c r="E330" s="232"/>
      <c r="F330" s="232"/>
      <c r="G330" s="232"/>
      <c r="H330" s="232"/>
      <c r="I330" s="232"/>
      <c r="J330" s="388"/>
      <c r="K330" s="232"/>
      <c r="L330" s="233"/>
      <c r="M330" s="234" t="s">
        <v>112822</v>
      </c>
      <c r="N330" s="235"/>
      <c r="O330" s="235" t="s">
        <v>112995</v>
      </c>
      <c r="P330" s="236"/>
      <c r="Q330" s="236"/>
      <c r="R330" s="237">
        <f>+R331</f>
        <v>0</v>
      </c>
      <c r="S330" s="237">
        <f t="shared" ref="S330" si="317">+S331</f>
        <v>53000000</v>
      </c>
      <c r="T330" s="446">
        <f>T331</f>
        <v>53000000</v>
      </c>
      <c r="U330" s="238"/>
      <c r="V330" s="238"/>
      <c r="W330" s="232"/>
      <c r="X330" s="237">
        <f t="shared" ref="X330:AI330" si="318">+X331</f>
        <v>0</v>
      </c>
      <c r="Y330" s="237">
        <f t="shared" si="318"/>
        <v>0</v>
      </c>
      <c r="Z330" s="237">
        <f t="shared" si="318"/>
        <v>0</v>
      </c>
      <c r="AA330" s="237">
        <f t="shared" si="318"/>
        <v>0</v>
      </c>
      <c r="AB330" s="237">
        <f t="shared" si="318"/>
        <v>0</v>
      </c>
      <c r="AC330" s="237">
        <f t="shared" si="318"/>
        <v>0</v>
      </c>
      <c r="AD330" s="237">
        <f t="shared" si="318"/>
        <v>0</v>
      </c>
      <c r="AE330" s="237">
        <f t="shared" si="318"/>
        <v>0</v>
      </c>
      <c r="AF330" s="237">
        <f t="shared" si="318"/>
        <v>0</v>
      </c>
      <c r="AG330" s="237">
        <f t="shared" si="318"/>
        <v>0</v>
      </c>
      <c r="AH330" s="237">
        <f t="shared" si="318"/>
        <v>0</v>
      </c>
      <c r="AI330" s="237">
        <f t="shared" si="318"/>
        <v>0</v>
      </c>
      <c r="AJ330" s="237">
        <f t="shared" si="291"/>
        <v>-53000000</v>
      </c>
    </row>
    <row r="331" spans="2:36" x14ac:dyDescent="0.2">
      <c r="B331" s="240" t="s">
        <v>105516</v>
      </c>
      <c r="C331" s="240" t="s">
        <v>106106</v>
      </c>
      <c r="D331" s="255" t="s">
        <v>105924</v>
      </c>
      <c r="E331" s="240"/>
      <c r="F331" s="240"/>
      <c r="G331" s="240"/>
      <c r="H331" s="240"/>
      <c r="I331" s="240"/>
      <c r="J331" s="389"/>
      <c r="K331" s="240"/>
      <c r="L331" s="241"/>
      <c r="M331" s="242" t="s">
        <v>112822</v>
      </c>
      <c r="N331" s="243" t="s">
        <v>112995</v>
      </c>
      <c r="O331" s="243" t="s">
        <v>113031</v>
      </c>
      <c r="P331" s="244"/>
      <c r="Q331" s="244"/>
      <c r="R331" s="252">
        <v>0</v>
      </c>
      <c r="S331" s="533">
        <v>53000000</v>
      </c>
      <c r="T331" s="448">
        <v>53000000</v>
      </c>
      <c r="U331" s="240"/>
      <c r="V331" s="253"/>
      <c r="W331" s="240"/>
      <c r="X331" s="533"/>
      <c r="Y331" s="533"/>
      <c r="Z331" s="533"/>
      <c r="AA331" s="533"/>
      <c r="AB331" s="533"/>
      <c r="AC331" s="533"/>
      <c r="AD331" s="533"/>
      <c r="AE331" s="533"/>
      <c r="AF331" s="533"/>
      <c r="AG331" s="533"/>
      <c r="AH331" s="533"/>
      <c r="AI331" s="533"/>
      <c r="AJ331" s="548">
        <v>0</v>
      </c>
    </row>
    <row r="332" spans="2:36" ht="15.75" x14ac:dyDescent="0.2">
      <c r="B332" s="256" t="s">
        <v>113163</v>
      </c>
      <c r="C332" s="256"/>
      <c r="D332" s="256"/>
      <c r="E332" s="256"/>
      <c r="F332" s="256"/>
      <c r="G332" s="256"/>
      <c r="H332" s="256"/>
      <c r="I332" s="256"/>
      <c r="J332" s="391"/>
      <c r="K332" s="256"/>
      <c r="L332" s="257"/>
      <c r="M332" s="258" t="s">
        <v>113164</v>
      </c>
      <c r="N332" s="259"/>
      <c r="O332" s="259" t="s">
        <v>112995</v>
      </c>
      <c r="P332" s="260"/>
      <c r="Q332" s="260"/>
      <c r="R332" s="261">
        <f>R333</f>
        <v>35810761572</v>
      </c>
      <c r="S332" s="261">
        <f>S333</f>
        <v>38202900000</v>
      </c>
      <c r="T332" s="449">
        <f>T333</f>
        <v>38560000000</v>
      </c>
      <c r="U332" s="262"/>
      <c r="V332" s="262"/>
      <c r="W332" s="256"/>
      <c r="X332" s="261">
        <f t="shared" ref="X332:AI332" si="319">X333</f>
        <v>34266666.666666664</v>
      </c>
      <c r="Y332" s="261">
        <f t="shared" si="319"/>
        <v>269966666.66666669</v>
      </c>
      <c r="Z332" s="261">
        <f t="shared" si="319"/>
        <v>829946871.26666677</v>
      </c>
      <c r="AA332" s="261">
        <f t="shared" si="319"/>
        <v>1227718753.1138887</v>
      </c>
      <c r="AB332" s="261">
        <f t="shared" si="319"/>
        <v>907418753.11388886</v>
      </c>
      <c r="AC332" s="261">
        <f t="shared" si="319"/>
        <v>3082418753.1138883</v>
      </c>
      <c r="AD332" s="261">
        <f t="shared" si="319"/>
        <v>2566669753.1138887</v>
      </c>
      <c r="AE332" s="261">
        <f t="shared" si="319"/>
        <v>6490669753.1138878</v>
      </c>
      <c r="AF332" s="261">
        <f t="shared" si="319"/>
        <v>4418669753.1138887</v>
      </c>
      <c r="AG332" s="261">
        <f t="shared" si="319"/>
        <v>7344918721.4472218</v>
      </c>
      <c r="AH332" s="261">
        <f t="shared" si="319"/>
        <v>3102303086.4472222</v>
      </c>
      <c r="AI332" s="261">
        <f t="shared" si="319"/>
        <v>6733947866.5722218</v>
      </c>
      <c r="AJ332" s="261">
        <f t="shared" ref="AJ332" si="320">SUM(X332:AI332)-S332</f>
        <v>-1193984602.25</v>
      </c>
    </row>
    <row r="333" spans="2:36" ht="30.75" customHeight="1" x14ac:dyDescent="0.2">
      <c r="B333" s="264" t="s">
        <v>113163</v>
      </c>
      <c r="C333" s="264" t="s">
        <v>113165</v>
      </c>
      <c r="D333" s="264"/>
      <c r="E333" s="264"/>
      <c r="F333" s="264"/>
      <c r="G333" s="264"/>
      <c r="H333" s="264"/>
      <c r="I333" s="264"/>
      <c r="J333" s="392"/>
      <c r="K333" s="264"/>
      <c r="L333" s="265"/>
      <c r="M333" s="266" t="s">
        <v>113166</v>
      </c>
      <c r="N333" s="267"/>
      <c r="O333" s="267" t="s">
        <v>112995</v>
      </c>
      <c r="P333" s="268"/>
      <c r="Q333" s="268"/>
      <c r="R333" s="269">
        <f>+R334</f>
        <v>35810761572</v>
      </c>
      <c r="S333" s="269">
        <f t="shared" ref="S333" si="321">+S334</f>
        <v>38202900000</v>
      </c>
      <c r="T333" s="450">
        <f>T334</f>
        <v>38560000000</v>
      </c>
      <c r="U333" s="270"/>
      <c r="V333" s="270"/>
      <c r="W333" s="365"/>
      <c r="X333" s="269">
        <f t="shared" ref="X333:AI333" si="322">+X334</f>
        <v>34266666.666666664</v>
      </c>
      <c r="Y333" s="269">
        <f t="shared" si="322"/>
        <v>269966666.66666669</v>
      </c>
      <c r="Z333" s="269">
        <f t="shared" si="322"/>
        <v>829946871.26666677</v>
      </c>
      <c r="AA333" s="269">
        <f t="shared" si="322"/>
        <v>1227718753.1138887</v>
      </c>
      <c r="AB333" s="269">
        <f t="shared" si="322"/>
        <v>907418753.11388886</v>
      </c>
      <c r="AC333" s="269">
        <f t="shared" si="322"/>
        <v>3082418753.1138883</v>
      </c>
      <c r="AD333" s="269">
        <f t="shared" si="322"/>
        <v>2566669753.1138887</v>
      </c>
      <c r="AE333" s="269">
        <f t="shared" si="322"/>
        <v>6490669753.1138878</v>
      </c>
      <c r="AF333" s="269">
        <f t="shared" si="322"/>
        <v>4418669753.1138887</v>
      </c>
      <c r="AG333" s="269">
        <f t="shared" si="322"/>
        <v>7344918721.4472218</v>
      </c>
      <c r="AH333" s="269">
        <f t="shared" si="322"/>
        <v>3102303086.4472222</v>
      </c>
      <c r="AI333" s="269">
        <f t="shared" si="322"/>
        <v>6733947866.5722218</v>
      </c>
      <c r="AJ333" s="548">
        <v>0</v>
      </c>
    </row>
    <row r="334" spans="2:36" ht="15.75" x14ac:dyDescent="0.2">
      <c r="B334" s="272" t="s">
        <v>113163</v>
      </c>
      <c r="C334" s="272">
        <v>1505</v>
      </c>
      <c r="D334" s="298" t="s">
        <v>113167</v>
      </c>
      <c r="E334" s="272"/>
      <c r="F334" s="272"/>
      <c r="G334" s="272"/>
      <c r="H334" s="272"/>
      <c r="I334" s="272"/>
      <c r="J334" s="393"/>
      <c r="K334" s="272"/>
      <c r="L334" s="273"/>
      <c r="M334" s="274" t="s">
        <v>113168</v>
      </c>
      <c r="N334" s="275"/>
      <c r="O334" s="275" t="s">
        <v>112995</v>
      </c>
      <c r="P334" s="276"/>
      <c r="Q334" s="276"/>
      <c r="R334" s="277">
        <f>+R373+R335</f>
        <v>35810761572</v>
      </c>
      <c r="S334" s="277">
        <f>+S373+S335</f>
        <v>38202900000</v>
      </c>
      <c r="T334" s="451">
        <f>T335+T373</f>
        <v>38560000000</v>
      </c>
      <c r="U334" s="278"/>
      <c r="V334" s="278"/>
      <c r="W334" s="366"/>
      <c r="X334" s="277">
        <f t="shared" ref="X334:AI334" si="323">+X373+X335</f>
        <v>34266666.666666664</v>
      </c>
      <c r="Y334" s="277">
        <f t="shared" si="323"/>
        <v>269966666.66666669</v>
      </c>
      <c r="Z334" s="277">
        <f t="shared" si="323"/>
        <v>829946871.26666677</v>
      </c>
      <c r="AA334" s="277">
        <f t="shared" si="323"/>
        <v>1227718753.1138887</v>
      </c>
      <c r="AB334" s="277">
        <f t="shared" si="323"/>
        <v>907418753.11388886</v>
      </c>
      <c r="AC334" s="277">
        <f t="shared" si="323"/>
        <v>3082418753.1138883</v>
      </c>
      <c r="AD334" s="277">
        <f t="shared" si="323"/>
        <v>2566669753.1138887</v>
      </c>
      <c r="AE334" s="277">
        <f t="shared" si="323"/>
        <v>6490669753.1138878</v>
      </c>
      <c r="AF334" s="277">
        <f t="shared" si="323"/>
        <v>4418669753.1138887</v>
      </c>
      <c r="AG334" s="277">
        <f t="shared" si="323"/>
        <v>7344918721.4472218</v>
      </c>
      <c r="AH334" s="277">
        <f t="shared" si="323"/>
        <v>3102303086.4472222</v>
      </c>
      <c r="AI334" s="277">
        <f t="shared" si="323"/>
        <v>6733947866.5722218</v>
      </c>
      <c r="AJ334" s="548">
        <v>0</v>
      </c>
    </row>
    <row r="335" spans="2:36" ht="30" x14ac:dyDescent="0.2">
      <c r="B335" s="248" t="s">
        <v>113163</v>
      </c>
      <c r="C335" s="248">
        <v>1505</v>
      </c>
      <c r="D335" s="248" t="s">
        <v>113167</v>
      </c>
      <c r="E335" s="297" t="s">
        <v>106211</v>
      </c>
      <c r="F335" s="248"/>
      <c r="G335" s="248"/>
      <c r="H335" s="248"/>
      <c r="I335" s="248"/>
      <c r="J335" s="390"/>
      <c r="K335" s="248"/>
      <c r="L335" s="62"/>
      <c r="M335" s="63" t="s">
        <v>113182</v>
      </c>
      <c r="N335" s="64"/>
      <c r="O335" s="64" t="s">
        <v>112995</v>
      </c>
      <c r="P335" s="65"/>
      <c r="Q335" s="65"/>
      <c r="R335" s="66">
        <f>+R336</f>
        <v>18045761572</v>
      </c>
      <c r="S335" s="66">
        <f t="shared" ref="S335" si="324">+S336</f>
        <v>17202900000</v>
      </c>
      <c r="T335" s="427">
        <f>T336</f>
        <v>20795000000</v>
      </c>
      <c r="U335" s="67"/>
      <c r="V335" s="67"/>
      <c r="W335" s="248"/>
      <c r="X335" s="66">
        <f t="shared" ref="X335:AI335" si="325">+X336</f>
        <v>32266666.666666664</v>
      </c>
      <c r="Y335" s="66">
        <f t="shared" si="325"/>
        <v>94466666.666666672</v>
      </c>
      <c r="Z335" s="66">
        <f t="shared" si="325"/>
        <v>657766666.66666675</v>
      </c>
      <c r="AA335" s="66">
        <f t="shared" si="325"/>
        <v>1032538548.5138888</v>
      </c>
      <c r="AB335" s="66">
        <f t="shared" si="325"/>
        <v>679238548.51388884</v>
      </c>
      <c r="AC335" s="66">
        <f t="shared" si="325"/>
        <v>2327238548.5138884</v>
      </c>
      <c r="AD335" s="66">
        <f t="shared" si="325"/>
        <v>525738548.5138889</v>
      </c>
      <c r="AE335" s="66">
        <f t="shared" si="325"/>
        <v>3434738548.5138884</v>
      </c>
      <c r="AF335" s="66">
        <f t="shared" si="325"/>
        <v>1492738548.5138891</v>
      </c>
      <c r="AG335" s="66">
        <f t="shared" si="325"/>
        <v>4046487516.8472223</v>
      </c>
      <c r="AH335" s="66">
        <f t="shared" si="325"/>
        <v>1008671881.8472222</v>
      </c>
      <c r="AI335" s="66">
        <f t="shared" si="325"/>
        <v>3391024707.9722223</v>
      </c>
      <c r="AJ335" s="548">
        <v>0</v>
      </c>
    </row>
    <row r="336" spans="2:36" ht="15.75" x14ac:dyDescent="0.2">
      <c r="B336" s="283" t="s">
        <v>113163</v>
      </c>
      <c r="C336" s="283">
        <v>1505</v>
      </c>
      <c r="D336" s="283" t="s">
        <v>113167</v>
      </c>
      <c r="E336" s="283">
        <v>3</v>
      </c>
      <c r="F336" s="283" t="s">
        <v>113226</v>
      </c>
      <c r="G336" s="283">
        <v>1505006</v>
      </c>
      <c r="H336" s="283"/>
      <c r="I336" s="283"/>
      <c r="J336" s="394"/>
      <c r="K336" s="283"/>
      <c r="L336" s="33"/>
      <c r="M336" s="34" t="s">
        <v>113403</v>
      </c>
      <c r="N336" s="284"/>
      <c r="O336" s="284" t="s">
        <v>112995</v>
      </c>
      <c r="P336" s="285"/>
      <c r="Q336" s="285"/>
      <c r="R336" s="290">
        <f>SUM(R337:R372)</f>
        <v>18045761572</v>
      </c>
      <c r="S336" s="290">
        <f>SUM(S337:S372)</f>
        <v>17202900000</v>
      </c>
      <c r="T336" s="452">
        <v>20795000000</v>
      </c>
      <c r="U336" s="291"/>
      <c r="V336" s="291"/>
      <c r="W336" s="367"/>
      <c r="X336" s="290">
        <f t="shared" ref="X336:AI336" si="326">SUM(X337:X372)</f>
        <v>32266666.666666664</v>
      </c>
      <c r="Y336" s="290">
        <f t="shared" si="326"/>
        <v>94466666.666666672</v>
      </c>
      <c r="Z336" s="290">
        <f t="shared" si="326"/>
        <v>657766666.66666675</v>
      </c>
      <c r="AA336" s="290">
        <f t="shared" si="326"/>
        <v>1032538548.5138888</v>
      </c>
      <c r="AB336" s="290">
        <f t="shared" si="326"/>
        <v>679238548.51388884</v>
      </c>
      <c r="AC336" s="290">
        <f t="shared" si="326"/>
        <v>2327238548.5138884</v>
      </c>
      <c r="AD336" s="290">
        <f t="shared" si="326"/>
        <v>525738548.5138889</v>
      </c>
      <c r="AE336" s="290">
        <f t="shared" si="326"/>
        <v>3434738548.5138884</v>
      </c>
      <c r="AF336" s="290">
        <f t="shared" si="326"/>
        <v>1492738548.5138891</v>
      </c>
      <c r="AG336" s="290">
        <f t="shared" si="326"/>
        <v>4046487516.8472223</v>
      </c>
      <c r="AH336" s="290">
        <f t="shared" si="326"/>
        <v>1008671881.8472222</v>
      </c>
      <c r="AI336" s="290">
        <f t="shared" si="326"/>
        <v>3391024707.9722223</v>
      </c>
      <c r="AJ336" s="548">
        <v>0</v>
      </c>
    </row>
    <row r="337" spans="2:36" ht="60" x14ac:dyDescent="0.2">
      <c r="B337" s="85"/>
      <c r="C337" s="86"/>
      <c r="D337" s="86"/>
      <c r="E337" s="86"/>
      <c r="F337" s="86"/>
      <c r="G337" s="86"/>
      <c r="H337" s="86"/>
      <c r="I337" s="86"/>
      <c r="J337" s="86"/>
      <c r="K337" s="93" t="s">
        <v>113185</v>
      </c>
      <c r="L337" s="88" t="s">
        <v>113170</v>
      </c>
      <c r="M337" s="397" t="s">
        <v>113454</v>
      </c>
      <c r="N337" s="90">
        <v>45693</v>
      </c>
      <c r="O337" s="91" t="s">
        <v>113037</v>
      </c>
      <c r="P337" s="91" t="s">
        <v>113004</v>
      </c>
      <c r="Q337" s="91" t="s">
        <v>113715</v>
      </c>
      <c r="R337" s="114">
        <v>4286426295</v>
      </c>
      <c r="S337" s="530">
        <f>4286426295-110161155.78</f>
        <v>4176265139.2199998</v>
      </c>
      <c r="T337" s="435"/>
      <c r="U337" s="93"/>
      <c r="V337" s="136"/>
      <c r="W337" s="359"/>
      <c r="X337" s="560"/>
      <c r="Y337" s="560"/>
      <c r="Z337" s="560"/>
      <c r="AA337" s="560">
        <v>120000000</v>
      </c>
      <c r="AB337" s="560">
        <v>0</v>
      </c>
      <c r="AC337" s="560">
        <v>650000000</v>
      </c>
      <c r="AD337" s="560"/>
      <c r="AE337" s="560">
        <v>800000000</v>
      </c>
      <c r="AF337" s="560"/>
      <c r="AG337" s="560">
        <v>1250000000</v>
      </c>
      <c r="AH337" s="560"/>
      <c r="AI337" s="560">
        <v>1466426295</v>
      </c>
      <c r="AJ337" s="548">
        <v>0</v>
      </c>
    </row>
    <row r="338" spans="2:36" ht="105" x14ac:dyDescent="0.2">
      <c r="B338" s="85"/>
      <c r="C338" s="86"/>
      <c r="D338" s="86"/>
      <c r="E338" s="86"/>
      <c r="F338" s="86"/>
      <c r="G338" s="86"/>
      <c r="H338" s="86"/>
      <c r="I338" s="86"/>
      <c r="J338" s="86"/>
      <c r="K338" s="93" t="s">
        <v>113185</v>
      </c>
      <c r="L338" s="88">
        <v>81101500</v>
      </c>
      <c r="M338" s="397" t="s">
        <v>113455</v>
      </c>
      <c r="N338" s="90">
        <v>45693</v>
      </c>
      <c r="O338" s="91" t="s">
        <v>113037</v>
      </c>
      <c r="P338" s="91" t="s">
        <v>113004</v>
      </c>
      <c r="Q338" s="91" t="s">
        <v>113716</v>
      </c>
      <c r="R338" s="114">
        <v>445450049</v>
      </c>
      <c r="S338" s="530">
        <f>445450049-358224</f>
        <v>445091825</v>
      </c>
      <c r="T338" s="435"/>
      <c r="U338" s="93"/>
      <c r="V338" s="136"/>
      <c r="W338" s="359"/>
      <c r="X338" s="560"/>
      <c r="Y338" s="560"/>
      <c r="Z338" s="560"/>
      <c r="AA338" s="560">
        <f>$S$338/9</f>
        <v>49454647.222222224</v>
      </c>
      <c r="AB338" s="560">
        <f t="shared" ref="AB338:AI338" si="327">$S$338/9</f>
        <v>49454647.222222224</v>
      </c>
      <c r="AC338" s="560">
        <f t="shared" si="327"/>
        <v>49454647.222222224</v>
      </c>
      <c r="AD338" s="560">
        <f t="shared" si="327"/>
        <v>49454647.222222224</v>
      </c>
      <c r="AE338" s="560">
        <f t="shared" si="327"/>
        <v>49454647.222222224</v>
      </c>
      <c r="AF338" s="560">
        <f t="shared" si="327"/>
        <v>49454647.222222224</v>
      </c>
      <c r="AG338" s="560">
        <f t="shared" si="327"/>
        <v>49454647.222222224</v>
      </c>
      <c r="AH338" s="560">
        <f t="shared" si="327"/>
        <v>49454647.222222224</v>
      </c>
      <c r="AI338" s="560">
        <f t="shared" si="327"/>
        <v>49454647.222222224</v>
      </c>
      <c r="AJ338" s="548">
        <v>0</v>
      </c>
    </row>
    <row r="339" spans="2:36" ht="84.75" customHeight="1" x14ac:dyDescent="0.2">
      <c r="B339" s="85"/>
      <c r="C339" s="86"/>
      <c r="D339" s="86"/>
      <c r="E339" s="86"/>
      <c r="F339" s="86"/>
      <c r="G339" s="86"/>
      <c r="H339" s="86"/>
      <c r="I339" s="86"/>
      <c r="J339" s="86"/>
      <c r="K339" s="93" t="s">
        <v>113185</v>
      </c>
      <c r="L339" s="88" t="s">
        <v>113170</v>
      </c>
      <c r="M339" s="397" t="s">
        <v>113458</v>
      </c>
      <c r="N339" s="90">
        <v>45693</v>
      </c>
      <c r="O339" s="91" t="s">
        <v>113037</v>
      </c>
      <c r="P339" s="91" t="s">
        <v>113022</v>
      </c>
      <c r="Q339" s="91" t="s">
        <v>113715</v>
      </c>
      <c r="R339" s="114">
        <v>1510274233</v>
      </c>
      <c r="S339" s="530">
        <f>1510274233-31865898.32</f>
        <v>1478408334.6800001</v>
      </c>
      <c r="T339" s="435"/>
      <c r="U339" s="93"/>
      <c r="V339" s="136"/>
      <c r="W339" s="359"/>
      <c r="X339" s="560"/>
      <c r="Y339" s="560"/>
      <c r="Z339" s="560"/>
      <c r="AA339" s="560">
        <v>50000000</v>
      </c>
      <c r="AB339" s="560"/>
      <c r="AC339" s="560">
        <v>250000000</v>
      </c>
      <c r="AD339" s="560"/>
      <c r="AE339" s="560">
        <v>520000000</v>
      </c>
      <c r="AF339" s="560"/>
      <c r="AG339" s="560">
        <v>520000000</v>
      </c>
      <c r="AH339" s="560"/>
      <c r="AI339" s="560">
        <v>170274233</v>
      </c>
      <c r="AJ339" s="548">
        <v>0</v>
      </c>
    </row>
    <row r="340" spans="2:36" ht="90" x14ac:dyDescent="0.2">
      <c r="B340" s="85"/>
      <c r="C340" s="86"/>
      <c r="D340" s="86"/>
      <c r="E340" s="86"/>
      <c r="F340" s="86"/>
      <c r="G340" s="86"/>
      <c r="H340" s="86"/>
      <c r="I340" s="86"/>
      <c r="J340" s="86"/>
      <c r="K340" s="93" t="s">
        <v>113185</v>
      </c>
      <c r="L340" s="88">
        <v>81101500</v>
      </c>
      <c r="M340" s="397" t="s">
        <v>113459</v>
      </c>
      <c r="N340" s="90">
        <v>45693</v>
      </c>
      <c r="O340" s="91" t="s">
        <v>113037</v>
      </c>
      <c r="P340" s="91" t="s">
        <v>113022</v>
      </c>
      <c r="Q340" s="91" t="s">
        <v>113716</v>
      </c>
      <c r="R340" s="114">
        <v>170000000</v>
      </c>
      <c r="S340" s="530">
        <f>170000000-55505</f>
        <v>169944495</v>
      </c>
      <c r="T340" s="435"/>
      <c r="U340" s="93"/>
      <c r="V340" s="136"/>
      <c r="W340" s="359"/>
      <c r="X340" s="560"/>
      <c r="Y340" s="560"/>
      <c r="Z340" s="560"/>
      <c r="AA340" s="560">
        <f>$S$340/8</f>
        <v>21243061.875</v>
      </c>
      <c r="AB340" s="560">
        <f t="shared" ref="AB340:AH340" si="328">$S$340/8</f>
        <v>21243061.875</v>
      </c>
      <c r="AC340" s="560">
        <f t="shared" si="328"/>
        <v>21243061.875</v>
      </c>
      <c r="AD340" s="560">
        <f t="shared" si="328"/>
        <v>21243061.875</v>
      </c>
      <c r="AE340" s="560">
        <f t="shared" si="328"/>
        <v>21243061.875</v>
      </c>
      <c r="AF340" s="560">
        <f t="shared" si="328"/>
        <v>21243061.875</v>
      </c>
      <c r="AG340" s="560">
        <f t="shared" si="328"/>
        <v>21243061.875</v>
      </c>
      <c r="AH340" s="560">
        <f t="shared" si="328"/>
        <v>21243061.875</v>
      </c>
      <c r="AI340" s="560"/>
      <c r="AJ340" s="548">
        <v>0</v>
      </c>
    </row>
    <row r="341" spans="2:36" ht="60" x14ac:dyDescent="0.2">
      <c r="B341" s="85"/>
      <c r="C341" s="86"/>
      <c r="D341" s="86"/>
      <c r="E341" s="86"/>
      <c r="F341" s="86"/>
      <c r="G341" s="86"/>
      <c r="H341" s="86"/>
      <c r="I341" s="86"/>
      <c r="J341" s="86"/>
      <c r="K341" s="93" t="s">
        <v>113185</v>
      </c>
      <c r="L341" s="88" t="s">
        <v>113170</v>
      </c>
      <c r="M341" s="569" t="s">
        <v>113717</v>
      </c>
      <c r="N341" s="90">
        <v>45693</v>
      </c>
      <c r="O341" s="91" t="s">
        <v>113037</v>
      </c>
      <c r="P341" s="91" t="s">
        <v>113004</v>
      </c>
      <c r="Q341" s="91" t="s">
        <v>113715</v>
      </c>
      <c r="R341" s="92">
        <v>3170285360</v>
      </c>
      <c r="S341" s="528">
        <f>3170285360-15688199.03</f>
        <v>3154597160.9699998</v>
      </c>
      <c r="T341" s="435"/>
      <c r="U341" s="93"/>
      <c r="V341" s="136"/>
      <c r="W341" s="359"/>
      <c r="X341" s="560"/>
      <c r="Y341" s="560"/>
      <c r="Z341" s="560"/>
      <c r="AA341" s="560">
        <v>100000000</v>
      </c>
      <c r="AB341" s="560"/>
      <c r="AC341" s="560">
        <v>500000000</v>
      </c>
      <c r="AD341" s="560"/>
      <c r="AE341" s="560">
        <v>700000000</v>
      </c>
      <c r="AF341" s="560">
        <v>500000000</v>
      </c>
      <c r="AG341" s="560">
        <v>800000000</v>
      </c>
      <c r="AH341" s="560"/>
      <c r="AI341" s="560">
        <v>570285360</v>
      </c>
      <c r="AJ341" s="548">
        <v>0</v>
      </c>
    </row>
    <row r="342" spans="2:36" ht="90" x14ac:dyDescent="0.2">
      <c r="B342" s="85"/>
      <c r="C342" s="86"/>
      <c r="D342" s="86"/>
      <c r="E342" s="86"/>
      <c r="F342" s="86"/>
      <c r="G342" s="86"/>
      <c r="H342" s="86"/>
      <c r="I342" s="86"/>
      <c r="J342" s="86"/>
      <c r="K342" s="93" t="s">
        <v>113185</v>
      </c>
      <c r="L342" s="88">
        <v>81101500</v>
      </c>
      <c r="M342" s="569" t="s">
        <v>113829</v>
      </c>
      <c r="N342" s="90">
        <v>45693</v>
      </c>
      <c r="O342" s="91" t="s">
        <v>113037</v>
      </c>
      <c r="P342" s="91" t="s">
        <v>113004</v>
      </c>
      <c r="Q342" s="91" t="s">
        <v>113716</v>
      </c>
      <c r="R342" s="92">
        <v>355000000</v>
      </c>
      <c r="S342" s="528">
        <f>355000000-6771.25</f>
        <v>354993228.75</v>
      </c>
      <c r="T342" s="435"/>
      <c r="U342" s="93"/>
      <c r="V342" s="136"/>
      <c r="W342" s="359"/>
      <c r="X342" s="560"/>
      <c r="Y342" s="560"/>
      <c r="Z342" s="560"/>
      <c r="AA342" s="560">
        <f>$S$342/9</f>
        <v>39443692.083333336</v>
      </c>
      <c r="AB342" s="560">
        <f t="shared" ref="AB342:AI342" si="329">$S$342/9</f>
        <v>39443692.083333336</v>
      </c>
      <c r="AC342" s="560">
        <f t="shared" si="329"/>
        <v>39443692.083333336</v>
      </c>
      <c r="AD342" s="560">
        <f t="shared" si="329"/>
        <v>39443692.083333336</v>
      </c>
      <c r="AE342" s="560">
        <f t="shared" si="329"/>
        <v>39443692.083333336</v>
      </c>
      <c r="AF342" s="560">
        <f t="shared" si="329"/>
        <v>39443692.083333336</v>
      </c>
      <c r="AG342" s="560">
        <f t="shared" si="329"/>
        <v>39443692.083333336</v>
      </c>
      <c r="AH342" s="560">
        <f t="shared" si="329"/>
        <v>39443692.083333336</v>
      </c>
      <c r="AI342" s="560">
        <f t="shared" si="329"/>
        <v>39443692.083333336</v>
      </c>
      <c r="AJ342" s="548">
        <v>0</v>
      </c>
    </row>
    <row r="343" spans="2:36" ht="60" x14ac:dyDescent="0.2">
      <c r="B343" s="85"/>
      <c r="C343" s="86"/>
      <c r="D343" s="86"/>
      <c r="E343" s="86"/>
      <c r="F343" s="86"/>
      <c r="G343" s="86"/>
      <c r="H343" s="86"/>
      <c r="I343" s="86"/>
      <c r="J343" s="86"/>
      <c r="K343" s="93" t="s">
        <v>113185</v>
      </c>
      <c r="L343" s="88" t="s">
        <v>113170</v>
      </c>
      <c r="M343" s="569" t="s">
        <v>113830</v>
      </c>
      <c r="N343" s="90">
        <v>45693</v>
      </c>
      <c r="O343" s="91" t="s">
        <v>113037</v>
      </c>
      <c r="P343" s="91" t="s">
        <v>113004</v>
      </c>
      <c r="Q343" s="91" t="s">
        <v>113715</v>
      </c>
      <c r="R343" s="92">
        <v>3360110000</v>
      </c>
      <c r="S343" s="528">
        <f>3360110000-16657572.62</f>
        <v>3343452427.3800001</v>
      </c>
      <c r="T343" s="435"/>
      <c r="U343" s="93"/>
      <c r="V343" s="136"/>
      <c r="W343" s="359"/>
      <c r="X343" s="560"/>
      <c r="Y343" s="560"/>
      <c r="Z343" s="560"/>
      <c r="AA343" s="560">
        <v>120000000</v>
      </c>
      <c r="AB343" s="560"/>
      <c r="AC343" s="560">
        <v>650000000</v>
      </c>
      <c r="AD343" s="560"/>
      <c r="AE343" s="560">
        <v>700000000</v>
      </c>
      <c r="AF343" s="560"/>
      <c r="AG343" s="560">
        <v>850000000</v>
      </c>
      <c r="AH343" s="560"/>
      <c r="AI343" s="560">
        <v>1040110000</v>
      </c>
      <c r="AJ343" s="548">
        <v>0</v>
      </c>
    </row>
    <row r="344" spans="2:36" ht="90" x14ac:dyDescent="0.2">
      <c r="B344" s="85"/>
      <c r="C344" s="86"/>
      <c r="D344" s="86"/>
      <c r="E344" s="86"/>
      <c r="F344" s="86"/>
      <c r="G344" s="86"/>
      <c r="H344" s="86"/>
      <c r="I344" s="86"/>
      <c r="J344" s="86"/>
      <c r="K344" s="93" t="s">
        <v>113185</v>
      </c>
      <c r="L344" s="88">
        <v>81101500</v>
      </c>
      <c r="M344" s="569" t="s">
        <v>113836</v>
      </c>
      <c r="N344" s="90">
        <v>45693</v>
      </c>
      <c r="O344" s="91" t="s">
        <v>113037</v>
      </c>
      <c r="P344" s="91" t="s">
        <v>113004</v>
      </c>
      <c r="Q344" s="91" t="s">
        <v>113716</v>
      </c>
      <c r="R344" s="92">
        <v>375000000</v>
      </c>
      <c r="S344" s="528">
        <f>375000000-325674</f>
        <v>374674326</v>
      </c>
      <c r="T344" s="435"/>
      <c r="U344" s="93"/>
      <c r="V344" s="136"/>
      <c r="W344" s="359"/>
      <c r="X344" s="560"/>
      <c r="Y344" s="560"/>
      <c r="Z344" s="560"/>
      <c r="AA344" s="560">
        <f>$S$344/9</f>
        <v>41630480.666666664</v>
      </c>
      <c r="AB344" s="560">
        <f t="shared" ref="AB344:AI344" si="330">$S$344/9</f>
        <v>41630480.666666664</v>
      </c>
      <c r="AC344" s="560">
        <f t="shared" si="330"/>
        <v>41630480.666666664</v>
      </c>
      <c r="AD344" s="560">
        <f t="shared" si="330"/>
        <v>41630480.666666664</v>
      </c>
      <c r="AE344" s="560">
        <f t="shared" si="330"/>
        <v>41630480.666666664</v>
      </c>
      <c r="AF344" s="560">
        <f t="shared" si="330"/>
        <v>41630480.666666664</v>
      </c>
      <c r="AG344" s="560">
        <f t="shared" si="330"/>
        <v>41630480.666666664</v>
      </c>
      <c r="AH344" s="560">
        <f t="shared" si="330"/>
        <v>41630480.666666664</v>
      </c>
      <c r="AI344" s="560">
        <f t="shared" si="330"/>
        <v>41630480.666666664</v>
      </c>
      <c r="AJ344" s="548">
        <v>0</v>
      </c>
    </row>
    <row r="345" spans="2:36" ht="45" x14ac:dyDescent="0.2">
      <c r="B345" s="85"/>
      <c r="C345" s="86"/>
      <c r="D345" s="86"/>
      <c r="E345" s="86"/>
      <c r="F345" s="86"/>
      <c r="G345" s="86"/>
      <c r="H345" s="86"/>
      <c r="I345" s="86"/>
      <c r="J345" s="86"/>
      <c r="K345" s="93" t="s">
        <v>113185</v>
      </c>
      <c r="L345" s="88" t="s">
        <v>113170</v>
      </c>
      <c r="M345" s="569" t="s">
        <v>113853</v>
      </c>
      <c r="N345" s="90">
        <v>45693</v>
      </c>
      <c r="O345" s="91" t="s">
        <v>113037</v>
      </c>
      <c r="P345" s="91" t="s">
        <v>113028</v>
      </c>
      <c r="Q345" s="91" t="s">
        <v>113715</v>
      </c>
      <c r="R345" s="92">
        <f>2000000000+810815635</f>
        <v>2810815635</v>
      </c>
      <c r="S345" s="528">
        <f>2750000000-1500000000+31865898.32+110161155.78+15688199.03+16657572.62+55505+358224+6771.25+3225674</f>
        <v>1428018999.9999998</v>
      </c>
      <c r="T345" s="435"/>
      <c r="U345" s="93"/>
      <c r="V345" s="136"/>
      <c r="W345" s="359"/>
      <c r="X345" s="560"/>
      <c r="Y345" s="560"/>
      <c r="Z345" s="560">
        <v>250000000</v>
      </c>
      <c r="AA345" s="560">
        <v>380000000</v>
      </c>
      <c r="AB345" s="560">
        <v>420000000</v>
      </c>
      <c r="AC345" s="560"/>
      <c r="AD345" s="560">
        <v>120000000</v>
      </c>
      <c r="AE345" s="560">
        <v>280000000</v>
      </c>
      <c r="AF345" s="560">
        <v>520000000</v>
      </c>
      <c r="AG345" s="560"/>
      <c r="AH345" s="560">
        <v>780000000</v>
      </c>
      <c r="AI345" s="560"/>
      <c r="AJ345" s="548">
        <v>0</v>
      </c>
    </row>
    <row r="346" spans="2:36" ht="90" customHeight="1" x14ac:dyDescent="0.2">
      <c r="B346" s="85"/>
      <c r="C346" s="86"/>
      <c r="D346" s="86"/>
      <c r="E346" s="86"/>
      <c r="F346" s="86"/>
      <c r="G346" s="86"/>
      <c r="H346" s="86"/>
      <c r="I346" s="86"/>
      <c r="J346" s="86"/>
      <c r="K346" s="93" t="s">
        <v>113185</v>
      </c>
      <c r="L346" s="88">
        <v>81101500</v>
      </c>
      <c r="M346" s="569" t="s">
        <v>113854</v>
      </c>
      <c r="N346" s="90">
        <v>45693</v>
      </c>
      <c r="O346" s="91" t="s">
        <v>113037</v>
      </c>
      <c r="P346" s="91" t="s">
        <v>113022</v>
      </c>
      <c r="Q346" s="91" t="s">
        <v>113716</v>
      </c>
      <c r="R346" s="92">
        <v>195000000</v>
      </c>
      <c r="S346" s="528">
        <v>126000000</v>
      </c>
      <c r="T346" s="435"/>
      <c r="U346" s="93"/>
      <c r="V346" s="136"/>
      <c r="W346" s="359"/>
      <c r="X346" s="560"/>
      <c r="Y346" s="560"/>
      <c r="Z346" s="560">
        <f>$S$346/9</f>
        <v>14000000</v>
      </c>
      <c r="AA346" s="560">
        <f t="shared" ref="AA346:AH346" si="331">$S$346/9</f>
        <v>14000000</v>
      </c>
      <c r="AB346" s="560">
        <f t="shared" si="331"/>
        <v>14000000</v>
      </c>
      <c r="AC346" s="560">
        <f t="shared" si="331"/>
        <v>14000000</v>
      </c>
      <c r="AD346" s="560">
        <f t="shared" si="331"/>
        <v>14000000</v>
      </c>
      <c r="AE346" s="560">
        <f t="shared" si="331"/>
        <v>14000000</v>
      </c>
      <c r="AF346" s="560">
        <f t="shared" si="331"/>
        <v>14000000</v>
      </c>
      <c r="AG346" s="560">
        <f t="shared" si="331"/>
        <v>14000000</v>
      </c>
      <c r="AH346" s="560">
        <f t="shared" si="331"/>
        <v>14000000</v>
      </c>
      <c r="AI346" s="560"/>
      <c r="AJ346" s="548">
        <v>0</v>
      </c>
    </row>
    <row r="347" spans="2:36" ht="63" customHeight="1" x14ac:dyDescent="0.2">
      <c r="B347" s="85"/>
      <c r="C347" s="86"/>
      <c r="D347" s="86"/>
      <c r="E347" s="86"/>
      <c r="F347" s="86"/>
      <c r="G347" s="86"/>
      <c r="H347" s="86"/>
      <c r="I347" s="86"/>
      <c r="J347" s="86"/>
      <c r="K347" s="93" t="s">
        <v>113185</v>
      </c>
      <c r="L347" s="88" t="s">
        <v>113170</v>
      </c>
      <c r="M347" s="569" t="s">
        <v>113870</v>
      </c>
      <c r="N347" s="90">
        <v>45693</v>
      </c>
      <c r="O347" s="91" t="s">
        <v>113037</v>
      </c>
      <c r="P347" s="91" t="s">
        <v>113155</v>
      </c>
      <c r="Q347" s="91" t="s">
        <v>113715</v>
      </c>
      <c r="R347" s="92">
        <v>700000000</v>
      </c>
      <c r="S347" s="528">
        <f>680015635-23661572</f>
        <v>656354063</v>
      </c>
      <c r="T347" s="435"/>
      <c r="U347" s="93"/>
      <c r="V347" s="136"/>
      <c r="W347" s="359"/>
      <c r="X347" s="560"/>
      <c r="Y347" s="560"/>
      <c r="Z347" s="560"/>
      <c r="AA347" s="560"/>
      <c r="AB347" s="560"/>
      <c r="AC347" s="560"/>
      <c r="AD347" s="560">
        <v>120000000</v>
      </c>
      <c r="AE347" s="560">
        <v>150000000</v>
      </c>
      <c r="AF347" s="560">
        <v>175000000</v>
      </c>
      <c r="AG347" s="560">
        <v>235015635</v>
      </c>
      <c r="AH347" s="560"/>
      <c r="AI347" s="560"/>
      <c r="AJ347" s="548">
        <v>0</v>
      </c>
    </row>
    <row r="348" spans="2:36" ht="88.5" customHeight="1" x14ac:dyDescent="0.2">
      <c r="B348" s="85"/>
      <c r="C348" s="86"/>
      <c r="D348" s="86"/>
      <c r="E348" s="86"/>
      <c r="F348" s="86"/>
      <c r="G348" s="86"/>
      <c r="H348" s="86"/>
      <c r="I348" s="86"/>
      <c r="J348" s="86"/>
      <c r="K348" s="93" t="s">
        <v>113185</v>
      </c>
      <c r="L348" s="88">
        <v>81101500</v>
      </c>
      <c r="M348" s="397" t="s">
        <v>113871</v>
      </c>
      <c r="N348" s="90">
        <v>45693</v>
      </c>
      <c r="O348" s="91" t="s">
        <v>113037</v>
      </c>
      <c r="P348" s="91" t="s">
        <v>113022</v>
      </c>
      <c r="Q348" s="91" t="s">
        <v>113716</v>
      </c>
      <c r="R348" s="114">
        <v>110000000</v>
      </c>
      <c r="S348" s="530">
        <v>110000000</v>
      </c>
      <c r="T348" s="435"/>
      <c r="U348" s="93"/>
      <c r="V348" s="136"/>
      <c r="W348" s="359"/>
      <c r="X348" s="560"/>
      <c r="Y348" s="560"/>
      <c r="Z348" s="560"/>
      <c r="AA348" s="560"/>
      <c r="AB348" s="560"/>
      <c r="AC348" s="560"/>
      <c r="AD348" s="560">
        <f>$S$348/4</f>
        <v>27500000</v>
      </c>
      <c r="AE348" s="560">
        <f t="shared" ref="AE348:AG348" si="332">$S$348/4</f>
        <v>27500000</v>
      </c>
      <c r="AF348" s="560">
        <f t="shared" si="332"/>
        <v>27500000</v>
      </c>
      <c r="AG348" s="560">
        <f t="shared" si="332"/>
        <v>27500000</v>
      </c>
      <c r="AH348" s="560"/>
      <c r="AI348" s="560"/>
      <c r="AJ348" s="548">
        <v>0</v>
      </c>
    </row>
    <row r="349" spans="2:36" ht="75" x14ac:dyDescent="0.2">
      <c r="B349" s="85"/>
      <c r="C349" s="86"/>
      <c r="D349" s="86"/>
      <c r="E349" s="86"/>
      <c r="F349" s="86"/>
      <c r="G349" s="86"/>
      <c r="H349" s="86"/>
      <c r="I349" s="86"/>
      <c r="J349" s="86"/>
      <c r="K349" s="93" t="s">
        <v>113185</v>
      </c>
      <c r="L349" s="88" t="s">
        <v>113722</v>
      </c>
      <c r="M349" s="397" t="s">
        <v>113467</v>
      </c>
      <c r="N349" s="90">
        <v>45693</v>
      </c>
      <c r="O349" s="91" t="s">
        <v>113037</v>
      </c>
      <c r="P349" s="91" t="s">
        <v>113004</v>
      </c>
      <c r="Q349" s="91" t="s">
        <v>113498</v>
      </c>
      <c r="R349" s="114"/>
      <c r="S349" s="530">
        <v>38700000</v>
      </c>
      <c r="T349" s="435"/>
      <c r="U349" s="93"/>
      <c r="V349" s="136"/>
      <c r="W349" s="359"/>
      <c r="X349" s="560">
        <f>$S$349/9</f>
        <v>4300000</v>
      </c>
      <c r="Y349" s="560">
        <f>$S$349/9</f>
        <v>4300000</v>
      </c>
      <c r="Z349" s="560">
        <f t="shared" ref="Z349:AF349" si="333">$S$349/9</f>
        <v>4300000</v>
      </c>
      <c r="AA349" s="560">
        <f t="shared" si="333"/>
        <v>4300000</v>
      </c>
      <c r="AB349" s="560">
        <f t="shared" si="333"/>
        <v>4300000</v>
      </c>
      <c r="AC349" s="560">
        <f t="shared" si="333"/>
        <v>4300000</v>
      </c>
      <c r="AD349" s="560">
        <f t="shared" si="333"/>
        <v>4300000</v>
      </c>
      <c r="AE349" s="560">
        <f t="shared" si="333"/>
        <v>4300000</v>
      </c>
      <c r="AF349" s="560">
        <f t="shared" si="333"/>
        <v>4300000</v>
      </c>
      <c r="AG349" s="560"/>
      <c r="AH349" s="560"/>
      <c r="AI349" s="560"/>
      <c r="AJ349" s="548">
        <v>0</v>
      </c>
    </row>
    <row r="350" spans="2:36" ht="75" x14ac:dyDescent="0.2">
      <c r="B350" s="85"/>
      <c r="C350" s="86"/>
      <c r="D350" s="86"/>
      <c r="E350" s="86"/>
      <c r="F350" s="86"/>
      <c r="G350" s="86"/>
      <c r="H350" s="86"/>
      <c r="I350" s="86"/>
      <c r="J350" s="86"/>
      <c r="K350" s="93" t="s">
        <v>113185</v>
      </c>
      <c r="L350" s="88" t="s">
        <v>113722</v>
      </c>
      <c r="M350" s="397" t="s">
        <v>113467</v>
      </c>
      <c r="N350" s="90">
        <v>45693</v>
      </c>
      <c r="O350" s="91" t="s">
        <v>113037</v>
      </c>
      <c r="P350" s="91" t="s">
        <v>113815</v>
      </c>
      <c r="Q350" s="91" t="s">
        <v>113498</v>
      </c>
      <c r="R350" s="114"/>
      <c r="S350" s="530">
        <v>34400000</v>
      </c>
      <c r="T350" s="435"/>
      <c r="U350" s="93"/>
      <c r="V350" s="136"/>
      <c r="W350" s="359"/>
      <c r="X350" s="560"/>
      <c r="Y350" s="560">
        <f>$S$350/8</f>
        <v>4300000</v>
      </c>
      <c r="Z350" s="560">
        <f>$S$350/8</f>
        <v>4300000</v>
      </c>
      <c r="AA350" s="560">
        <f t="shared" ref="AA350:AF350" si="334">$S$350/8</f>
        <v>4300000</v>
      </c>
      <c r="AB350" s="560">
        <f t="shared" si="334"/>
        <v>4300000</v>
      </c>
      <c r="AC350" s="560">
        <f t="shared" si="334"/>
        <v>4300000</v>
      </c>
      <c r="AD350" s="560">
        <f t="shared" si="334"/>
        <v>4300000</v>
      </c>
      <c r="AE350" s="560">
        <f t="shared" si="334"/>
        <v>4300000</v>
      </c>
      <c r="AF350" s="560">
        <f t="shared" si="334"/>
        <v>4300000</v>
      </c>
      <c r="AG350" s="560"/>
      <c r="AH350" s="560"/>
      <c r="AI350" s="560"/>
      <c r="AJ350" s="548">
        <v>0</v>
      </c>
    </row>
    <row r="351" spans="2:36" ht="75" x14ac:dyDescent="0.2">
      <c r="B351" s="85"/>
      <c r="C351" s="86"/>
      <c r="D351" s="86"/>
      <c r="E351" s="86"/>
      <c r="F351" s="86"/>
      <c r="G351" s="86"/>
      <c r="H351" s="86"/>
      <c r="I351" s="86"/>
      <c r="J351" s="86"/>
      <c r="K351" s="93" t="s">
        <v>113185</v>
      </c>
      <c r="L351" s="88" t="s">
        <v>113722</v>
      </c>
      <c r="M351" s="397" t="s">
        <v>113468</v>
      </c>
      <c r="N351" s="90">
        <v>45693</v>
      </c>
      <c r="O351" s="91" t="s">
        <v>113037</v>
      </c>
      <c r="P351" s="91" t="s">
        <v>113022</v>
      </c>
      <c r="Q351" s="91" t="s">
        <v>113498</v>
      </c>
      <c r="R351" s="114"/>
      <c r="S351" s="530">
        <v>43000000</v>
      </c>
      <c r="T351" s="435"/>
      <c r="U351" s="93"/>
      <c r="V351" s="136"/>
      <c r="W351" s="359"/>
      <c r="X351" s="560"/>
      <c r="Y351" s="560">
        <f>$S$351/10</f>
        <v>4300000</v>
      </c>
      <c r="Z351" s="560">
        <f t="shared" ref="Z351:AH351" si="335">$S$351/10</f>
        <v>4300000</v>
      </c>
      <c r="AA351" s="560">
        <f t="shared" si="335"/>
        <v>4300000</v>
      </c>
      <c r="AB351" s="560">
        <f t="shared" si="335"/>
        <v>4300000</v>
      </c>
      <c r="AC351" s="560">
        <f t="shared" si="335"/>
        <v>4300000</v>
      </c>
      <c r="AD351" s="560">
        <f t="shared" si="335"/>
        <v>4300000</v>
      </c>
      <c r="AE351" s="560">
        <f t="shared" si="335"/>
        <v>4300000</v>
      </c>
      <c r="AF351" s="560">
        <f t="shared" si="335"/>
        <v>4300000</v>
      </c>
      <c r="AG351" s="560">
        <f t="shared" si="335"/>
        <v>4300000</v>
      </c>
      <c r="AH351" s="560">
        <f t="shared" si="335"/>
        <v>4300000</v>
      </c>
      <c r="AI351" s="560"/>
      <c r="AJ351" s="548">
        <v>0</v>
      </c>
    </row>
    <row r="352" spans="2:36" ht="75" x14ac:dyDescent="0.2">
      <c r="B352" s="85"/>
      <c r="C352" s="86"/>
      <c r="D352" s="86"/>
      <c r="E352" s="86"/>
      <c r="F352" s="86"/>
      <c r="G352" s="86"/>
      <c r="H352" s="86"/>
      <c r="I352" s="86"/>
      <c r="J352" s="86"/>
      <c r="K352" s="93" t="s">
        <v>113185</v>
      </c>
      <c r="L352" s="88" t="s">
        <v>113722</v>
      </c>
      <c r="M352" s="397" t="s">
        <v>113469</v>
      </c>
      <c r="N352" s="90">
        <v>45693</v>
      </c>
      <c r="O352" s="91" t="s">
        <v>113037</v>
      </c>
      <c r="P352" s="91" t="s">
        <v>113022</v>
      </c>
      <c r="Q352" s="91" t="s">
        <v>113498</v>
      </c>
      <c r="R352" s="114"/>
      <c r="S352" s="530">
        <v>43000000</v>
      </c>
      <c r="T352" s="435"/>
      <c r="U352" s="93"/>
      <c r="V352" s="136"/>
      <c r="W352" s="359"/>
      <c r="X352" s="560"/>
      <c r="Y352" s="560">
        <f>$S$352/10</f>
        <v>4300000</v>
      </c>
      <c r="Z352" s="560">
        <f t="shared" ref="Z352:AH352" si="336">$S$352/10</f>
        <v>4300000</v>
      </c>
      <c r="AA352" s="560">
        <f t="shared" si="336"/>
        <v>4300000</v>
      </c>
      <c r="AB352" s="560">
        <f t="shared" si="336"/>
        <v>4300000</v>
      </c>
      <c r="AC352" s="560">
        <f t="shared" si="336"/>
        <v>4300000</v>
      </c>
      <c r="AD352" s="560">
        <f t="shared" si="336"/>
        <v>4300000</v>
      </c>
      <c r="AE352" s="560">
        <f t="shared" si="336"/>
        <v>4300000</v>
      </c>
      <c r="AF352" s="560">
        <f t="shared" si="336"/>
        <v>4300000</v>
      </c>
      <c r="AG352" s="560">
        <f t="shared" si="336"/>
        <v>4300000</v>
      </c>
      <c r="AH352" s="560">
        <f t="shared" si="336"/>
        <v>4300000</v>
      </c>
      <c r="AI352" s="560"/>
      <c r="AJ352" s="548">
        <v>0</v>
      </c>
    </row>
    <row r="353" spans="2:36" ht="75" x14ac:dyDescent="0.2">
      <c r="B353" s="85"/>
      <c r="C353" s="86"/>
      <c r="D353" s="86"/>
      <c r="E353" s="86"/>
      <c r="F353" s="86"/>
      <c r="G353" s="86"/>
      <c r="H353" s="86"/>
      <c r="I353" s="86"/>
      <c r="J353" s="86"/>
      <c r="K353" s="93" t="s">
        <v>113185</v>
      </c>
      <c r="L353" s="88" t="s">
        <v>113722</v>
      </c>
      <c r="M353" s="397" t="s">
        <v>113470</v>
      </c>
      <c r="N353" s="90">
        <v>45693</v>
      </c>
      <c r="O353" s="91" t="s">
        <v>113037</v>
      </c>
      <c r="P353" s="91" t="s">
        <v>113022</v>
      </c>
      <c r="Q353" s="91" t="s">
        <v>113498</v>
      </c>
      <c r="R353" s="114"/>
      <c r="S353" s="530">
        <v>43000000</v>
      </c>
      <c r="T353" s="435"/>
      <c r="U353" s="93"/>
      <c r="V353" s="136"/>
      <c r="W353" s="359"/>
      <c r="X353" s="560"/>
      <c r="Y353" s="560">
        <f>$S$353/10</f>
        <v>4300000</v>
      </c>
      <c r="Z353" s="560">
        <f t="shared" ref="Z353:AH353" si="337">$S$353/10</f>
        <v>4300000</v>
      </c>
      <c r="AA353" s="560">
        <f t="shared" si="337"/>
        <v>4300000</v>
      </c>
      <c r="AB353" s="560">
        <f t="shared" si="337"/>
        <v>4300000</v>
      </c>
      <c r="AC353" s="560">
        <f t="shared" si="337"/>
        <v>4300000</v>
      </c>
      <c r="AD353" s="560">
        <f t="shared" si="337"/>
        <v>4300000</v>
      </c>
      <c r="AE353" s="560">
        <f t="shared" si="337"/>
        <v>4300000</v>
      </c>
      <c r="AF353" s="560">
        <f t="shared" si="337"/>
        <v>4300000</v>
      </c>
      <c r="AG353" s="560">
        <f t="shared" si="337"/>
        <v>4300000</v>
      </c>
      <c r="AH353" s="560">
        <f t="shared" si="337"/>
        <v>4300000</v>
      </c>
      <c r="AI353" s="560"/>
      <c r="AJ353" s="548">
        <v>0</v>
      </c>
    </row>
    <row r="354" spans="2:36" ht="75" x14ac:dyDescent="0.2">
      <c r="B354" s="85"/>
      <c r="C354" s="86"/>
      <c r="D354" s="86"/>
      <c r="E354" s="86"/>
      <c r="F354" s="86"/>
      <c r="G354" s="86"/>
      <c r="H354" s="86"/>
      <c r="I354" s="86"/>
      <c r="J354" s="86"/>
      <c r="K354" s="93" t="s">
        <v>113185</v>
      </c>
      <c r="L354" s="88" t="s">
        <v>113722</v>
      </c>
      <c r="M354" s="397" t="s">
        <v>113471</v>
      </c>
      <c r="N354" s="90">
        <v>45693</v>
      </c>
      <c r="O354" s="91" t="s">
        <v>113037</v>
      </c>
      <c r="P354" s="91" t="s">
        <v>113022</v>
      </c>
      <c r="Q354" s="91" t="s">
        <v>113498</v>
      </c>
      <c r="R354" s="114"/>
      <c r="S354" s="530">
        <v>43000000</v>
      </c>
      <c r="T354" s="435"/>
      <c r="U354" s="93"/>
      <c r="V354" s="136"/>
      <c r="W354" s="359"/>
      <c r="X354" s="560"/>
      <c r="Y354" s="560">
        <f>$S$354/10</f>
        <v>4300000</v>
      </c>
      <c r="Z354" s="560">
        <f t="shared" ref="Z354:AH354" si="338">$S$354/10</f>
        <v>4300000</v>
      </c>
      <c r="AA354" s="560">
        <f t="shared" si="338"/>
        <v>4300000</v>
      </c>
      <c r="AB354" s="560">
        <f t="shared" si="338"/>
        <v>4300000</v>
      </c>
      <c r="AC354" s="560">
        <f t="shared" si="338"/>
        <v>4300000</v>
      </c>
      <c r="AD354" s="560">
        <f t="shared" si="338"/>
        <v>4300000</v>
      </c>
      <c r="AE354" s="560">
        <f t="shared" si="338"/>
        <v>4300000</v>
      </c>
      <c r="AF354" s="560">
        <f t="shared" si="338"/>
        <v>4300000</v>
      </c>
      <c r="AG354" s="560">
        <f t="shared" si="338"/>
        <v>4300000</v>
      </c>
      <c r="AH354" s="560">
        <f t="shared" si="338"/>
        <v>4300000</v>
      </c>
      <c r="AI354" s="560"/>
      <c r="AJ354" s="548">
        <v>0</v>
      </c>
    </row>
    <row r="355" spans="2:36" ht="75" x14ac:dyDescent="0.2">
      <c r="B355" s="85"/>
      <c r="C355" s="86"/>
      <c r="D355" s="86"/>
      <c r="E355" s="86"/>
      <c r="F355" s="86"/>
      <c r="G355" s="86"/>
      <c r="H355" s="86"/>
      <c r="I355" s="86"/>
      <c r="J355" s="86"/>
      <c r="K355" s="93" t="s">
        <v>113185</v>
      </c>
      <c r="L355" s="88" t="s">
        <v>113722</v>
      </c>
      <c r="M355" s="397" t="s">
        <v>113471</v>
      </c>
      <c r="N355" s="90">
        <v>45693</v>
      </c>
      <c r="O355" s="91" t="s">
        <v>113037</v>
      </c>
      <c r="P355" s="91" t="s">
        <v>113022</v>
      </c>
      <c r="Q355" s="91" t="s">
        <v>113498</v>
      </c>
      <c r="R355" s="114"/>
      <c r="S355" s="530">
        <v>43000000</v>
      </c>
      <c r="T355" s="435"/>
      <c r="U355" s="93"/>
      <c r="V355" s="136"/>
      <c r="W355" s="359"/>
      <c r="X355" s="560"/>
      <c r="Y355" s="560">
        <f>$S$355/10</f>
        <v>4300000</v>
      </c>
      <c r="Z355" s="560">
        <f t="shared" ref="Z355:AH355" si="339">$S$355/10</f>
        <v>4300000</v>
      </c>
      <c r="AA355" s="560">
        <f t="shared" si="339"/>
        <v>4300000</v>
      </c>
      <c r="AB355" s="560">
        <f t="shared" si="339"/>
        <v>4300000</v>
      </c>
      <c r="AC355" s="560">
        <f t="shared" si="339"/>
        <v>4300000</v>
      </c>
      <c r="AD355" s="560">
        <f t="shared" si="339"/>
        <v>4300000</v>
      </c>
      <c r="AE355" s="560">
        <f t="shared" si="339"/>
        <v>4300000</v>
      </c>
      <c r="AF355" s="560">
        <f t="shared" si="339"/>
        <v>4300000</v>
      </c>
      <c r="AG355" s="560">
        <f t="shared" si="339"/>
        <v>4300000</v>
      </c>
      <c r="AH355" s="560">
        <f t="shared" si="339"/>
        <v>4300000</v>
      </c>
      <c r="AI355" s="560"/>
      <c r="AJ355" s="548">
        <v>0</v>
      </c>
    </row>
    <row r="356" spans="2:36" ht="75" x14ac:dyDescent="0.2">
      <c r="B356" s="85"/>
      <c r="C356" s="86"/>
      <c r="D356" s="86"/>
      <c r="E356" s="86"/>
      <c r="F356" s="86"/>
      <c r="G356" s="86"/>
      <c r="H356" s="86"/>
      <c r="I356" s="86"/>
      <c r="J356" s="86"/>
      <c r="K356" s="93" t="s">
        <v>113185</v>
      </c>
      <c r="L356" s="88" t="s">
        <v>113722</v>
      </c>
      <c r="M356" s="397" t="s">
        <v>113471</v>
      </c>
      <c r="N356" s="90">
        <v>45693</v>
      </c>
      <c r="O356" s="91" t="s">
        <v>113037</v>
      </c>
      <c r="P356" s="91" t="s">
        <v>113022</v>
      </c>
      <c r="Q356" s="91" t="s">
        <v>113498</v>
      </c>
      <c r="R356" s="543"/>
      <c r="S356" s="530">
        <v>43000000</v>
      </c>
      <c r="T356" s="435"/>
      <c r="U356" s="93"/>
      <c r="V356" s="136"/>
      <c r="W356" s="359"/>
      <c r="X356" s="560"/>
      <c r="Y356" s="560">
        <f>$S$356/10</f>
        <v>4300000</v>
      </c>
      <c r="Z356" s="560">
        <f t="shared" ref="Z356:AH356" si="340">$S$356/10</f>
        <v>4300000</v>
      </c>
      <c r="AA356" s="560">
        <f t="shared" si="340"/>
        <v>4300000</v>
      </c>
      <c r="AB356" s="560">
        <f t="shared" si="340"/>
        <v>4300000</v>
      </c>
      <c r="AC356" s="560">
        <f t="shared" si="340"/>
        <v>4300000</v>
      </c>
      <c r="AD356" s="560">
        <f t="shared" si="340"/>
        <v>4300000</v>
      </c>
      <c r="AE356" s="560">
        <f t="shared" si="340"/>
        <v>4300000</v>
      </c>
      <c r="AF356" s="560">
        <f t="shared" si="340"/>
        <v>4300000</v>
      </c>
      <c r="AG356" s="560">
        <f t="shared" si="340"/>
        <v>4300000</v>
      </c>
      <c r="AH356" s="560">
        <f t="shared" si="340"/>
        <v>4300000</v>
      </c>
      <c r="AI356" s="560"/>
      <c r="AJ356" s="548">
        <v>0</v>
      </c>
    </row>
    <row r="357" spans="2:36" ht="75" x14ac:dyDescent="0.2">
      <c r="B357" s="85"/>
      <c r="C357" s="86"/>
      <c r="D357" s="86"/>
      <c r="E357" s="86"/>
      <c r="F357" s="86"/>
      <c r="G357" s="86"/>
      <c r="H357" s="86"/>
      <c r="I357" s="86"/>
      <c r="J357" s="86"/>
      <c r="K357" s="93" t="s">
        <v>113185</v>
      </c>
      <c r="L357" s="88" t="s">
        <v>113722</v>
      </c>
      <c r="M357" s="397" t="s">
        <v>113472</v>
      </c>
      <c r="N357" s="90">
        <v>45693</v>
      </c>
      <c r="O357" s="91" t="s">
        <v>113037</v>
      </c>
      <c r="P357" s="91" t="s">
        <v>113022</v>
      </c>
      <c r="Q357" s="91" t="s">
        <v>113498</v>
      </c>
      <c r="R357" s="543"/>
      <c r="S357" s="530">
        <v>43000000</v>
      </c>
      <c r="T357" s="435"/>
      <c r="U357" s="93"/>
      <c r="V357" s="136"/>
      <c r="W357" s="359"/>
      <c r="X357" s="560">
        <f>$S$357/10</f>
        <v>4300000</v>
      </c>
      <c r="Y357" s="560">
        <f t="shared" ref="Y357:AH358" si="341">$S$357/10</f>
        <v>4300000</v>
      </c>
      <c r="Z357" s="560">
        <f t="shared" si="341"/>
        <v>4300000</v>
      </c>
      <c r="AA357" s="560">
        <f t="shared" si="341"/>
        <v>4300000</v>
      </c>
      <c r="AB357" s="560">
        <f t="shared" si="341"/>
        <v>4300000</v>
      </c>
      <c r="AC357" s="560">
        <f t="shared" si="341"/>
        <v>4300000</v>
      </c>
      <c r="AD357" s="560">
        <f t="shared" si="341"/>
        <v>4300000</v>
      </c>
      <c r="AE357" s="560">
        <f t="shared" si="341"/>
        <v>4300000</v>
      </c>
      <c r="AF357" s="560">
        <f t="shared" si="341"/>
        <v>4300000</v>
      </c>
      <c r="AG357" s="560">
        <f t="shared" si="341"/>
        <v>4300000</v>
      </c>
      <c r="AH357" s="560"/>
      <c r="AI357" s="560"/>
      <c r="AJ357" s="548">
        <v>0</v>
      </c>
    </row>
    <row r="358" spans="2:36" ht="75" x14ac:dyDescent="0.2">
      <c r="B358" s="85"/>
      <c r="C358" s="86"/>
      <c r="D358" s="86"/>
      <c r="E358" s="86"/>
      <c r="F358" s="86"/>
      <c r="G358" s="86"/>
      <c r="H358" s="86"/>
      <c r="I358" s="86"/>
      <c r="J358" s="86"/>
      <c r="K358" s="93" t="s">
        <v>113185</v>
      </c>
      <c r="L358" s="88" t="s">
        <v>113722</v>
      </c>
      <c r="M358" s="397" t="s">
        <v>113472</v>
      </c>
      <c r="N358" s="90">
        <v>45693</v>
      </c>
      <c r="O358" s="91" t="s">
        <v>113037</v>
      </c>
      <c r="P358" s="91" t="s">
        <v>113022</v>
      </c>
      <c r="Q358" s="91" t="s">
        <v>113498</v>
      </c>
      <c r="R358" s="114"/>
      <c r="S358" s="530">
        <v>43000000</v>
      </c>
      <c r="T358" s="435"/>
      <c r="U358" s="93"/>
      <c r="V358" s="136"/>
      <c r="W358" s="359"/>
      <c r="X358" s="560"/>
      <c r="Y358" s="560">
        <f>$S$357/10</f>
        <v>4300000</v>
      </c>
      <c r="Z358" s="560">
        <f t="shared" si="341"/>
        <v>4300000</v>
      </c>
      <c r="AA358" s="560">
        <f t="shared" si="341"/>
        <v>4300000</v>
      </c>
      <c r="AB358" s="560">
        <f t="shared" si="341"/>
        <v>4300000</v>
      </c>
      <c r="AC358" s="560">
        <f t="shared" si="341"/>
        <v>4300000</v>
      </c>
      <c r="AD358" s="560">
        <f t="shared" si="341"/>
        <v>4300000</v>
      </c>
      <c r="AE358" s="560">
        <f t="shared" si="341"/>
        <v>4300000</v>
      </c>
      <c r="AF358" s="560">
        <f t="shared" si="341"/>
        <v>4300000</v>
      </c>
      <c r="AG358" s="560">
        <f t="shared" si="341"/>
        <v>4300000</v>
      </c>
      <c r="AH358" s="560">
        <f t="shared" si="341"/>
        <v>4300000</v>
      </c>
      <c r="AI358" s="560"/>
      <c r="AJ358" s="548">
        <v>0</v>
      </c>
    </row>
    <row r="359" spans="2:36" ht="90" x14ac:dyDescent="0.2">
      <c r="B359" s="85"/>
      <c r="C359" s="86"/>
      <c r="D359" s="86"/>
      <c r="E359" s="86"/>
      <c r="F359" s="86"/>
      <c r="G359" s="86"/>
      <c r="H359" s="86"/>
      <c r="I359" s="86"/>
      <c r="J359" s="86"/>
      <c r="K359" s="93" t="s">
        <v>113185</v>
      </c>
      <c r="L359" s="88" t="s">
        <v>113722</v>
      </c>
      <c r="M359" s="397" t="s">
        <v>113872</v>
      </c>
      <c r="N359" s="90">
        <v>45719</v>
      </c>
      <c r="O359" s="91" t="s">
        <v>113001</v>
      </c>
      <c r="P359" s="91" t="s">
        <v>113045</v>
      </c>
      <c r="Q359" s="91" t="s">
        <v>113498</v>
      </c>
      <c r="R359" s="543"/>
      <c r="S359" s="530">
        <v>8600000</v>
      </c>
      <c r="T359" s="435"/>
      <c r="U359" s="93"/>
      <c r="V359" s="136"/>
      <c r="W359" s="359"/>
      <c r="X359" s="560"/>
      <c r="Y359" s="560"/>
      <c r="Z359" s="560">
        <v>4300000</v>
      </c>
      <c r="AA359" s="560">
        <v>4300000</v>
      </c>
      <c r="AB359" s="560"/>
      <c r="AC359" s="560"/>
      <c r="AD359" s="560"/>
      <c r="AE359" s="560"/>
      <c r="AF359" s="560"/>
      <c r="AG359" s="560"/>
      <c r="AH359" s="560"/>
      <c r="AI359" s="560"/>
      <c r="AJ359" s="548">
        <v>0</v>
      </c>
    </row>
    <row r="360" spans="2:36" ht="75" x14ac:dyDescent="0.2">
      <c r="B360" s="85"/>
      <c r="C360" s="86"/>
      <c r="D360" s="86"/>
      <c r="E360" s="86"/>
      <c r="F360" s="86"/>
      <c r="G360" s="86"/>
      <c r="H360" s="86"/>
      <c r="I360" s="86"/>
      <c r="J360" s="86"/>
      <c r="K360" s="93" t="s">
        <v>113185</v>
      </c>
      <c r="L360" s="88" t="s">
        <v>113722</v>
      </c>
      <c r="M360" s="397" t="s">
        <v>113474</v>
      </c>
      <c r="N360" s="90">
        <v>45693</v>
      </c>
      <c r="O360" s="91" t="s">
        <v>113037</v>
      </c>
      <c r="P360" s="91" t="s">
        <v>113022</v>
      </c>
      <c r="Q360" s="91" t="s">
        <v>113498</v>
      </c>
      <c r="R360" s="114"/>
      <c r="S360" s="530">
        <f>34000000-24000000</f>
        <v>10000000</v>
      </c>
      <c r="T360" s="435"/>
      <c r="U360" s="93"/>
      <c r="V360" s="136"/>
      <c r="W360" s="359"/>
      <c r="X360" s="560"/>
      <c r="Y360" s="560">
        <f>$S$360/10</f>
        <v>1000000</v>
      </c>
      <c r="Z360" s="560">
        <f t="shared" ref="Z360:AG360" si="342">$S$360/10</f>
        <v>1000000</v>
      </c>
      <c r="AA360" s="560">
        <f t="shared" si="342"/>
        <v>1000000</v>
      </c>
      <c r="AB360" s="560">
        <f t="shared" si="342"/>
        <v>1000000</v>
      </c>
      <c r="AC360" s="560">
        <f t="shared" si="342"/>
        <v>1000000</v>
      </c>
      <c r="AD360" s="560">
        <f t="shared" si="342"/>
        <v>1000000</v>
      </c>
      <c r="AE360" s="560">
        <f t="shared" si="342"/>
        <v>1000000</v>
      </c>
      <c r="AF360" s="560">
        <f t="shared" si="342"/>
        <v>1000000</v>
      </c>
      <c r="AG360" s="560">
        <f t="shared" si="342"/>
        <v>1000000</v>
      </c>
      <c r="AH360" s="560">
        <f>$S$360/10</f>
        <v>1000000</v>
      </c>
      <c r="AI360" s="560"/>
      <c r="AJ360" s="548">
        <v>0</v>
      </c>
    </row>
    <row r="361" spans="2:36" ht="75" x14ac:dyDescent="0.2">
      <c r="B361" s="85"/>
      <c r="C361" s="86"/>
      <c r="D361" s="86"/>
      <c r="E361" s="86"/>
      <c r="F361" s="86"/>
      <c r="G361" s="86"/>
      <c r="H361" s="86"/>
      <c r="I361" s="86"/>
      <c r="J361" s="86"/>
      <c r="K361" s="93" t="s">
        <v>113185</v>
      </c>
      <c r="L361" s="88" t="s">
        <v>113722</v>
      </c>
      <c r="M361" s="397" t="s">
        <v>113475</v>
      </c>
      <c r="N361" s="90">
        <v>45693</v>
      </c>
      <c r="O361" s="91" t="s">
        <v>113037</v>
      </c>
      <c r="P361" s="91" t="s">
        <v>113022</v>
      </c>
      <c r="Q361" s="91" t="s">
        <v>113498</v>
      </c>
      <c r="R361" s="114"/>
      <c r="S361" s="530">
        <v>34000000</v>
      </c>
      <c r="T361" s="435"/>
      <c r="U361" s="93"/>
      <c r="V361" s="136"/>
      <c r="W361" s="359"/>
      <c r="X361" s="560"/>
      <c r="Y361" s="560">
        <f>$S$361/10</f>
        <v>3400000</v>
      </c>
      <c r="Z361" s="560">
        <f t="shared" ref="Z361:AH361" si="343">$S$361/10</f>
        <v>3400000</v>
      </c>
      <c r="AA361" s="560">
        <f t="shared" si="343"/>
        <v>3400000</v>
      </c>
      <c r="AB361" s="560">
        <f t="shared" si="343"/>
        <v>3400000</v>
      </c>
      <c r="AC361" s="560">
        <f t="shared" si="343"/>
        <v>3400000</v>
      </c>
      <c r="AD361" s="560">
        <f t="shared" si="343"/>
        <v>3400000</v>
      </c>
      <c r="AE361" s="560">
        <f t="shared" si="343"/>
        <v>3400000</v>
      </c>
      <c r="AF361" s="560">
        <f t="shared" si="343"/>
        <v>3400000</v>
      </c>
      <c r="AG361" s="560">
        <f t="shared" si="343"/>
        <v>3400000</v>
      </c>
      <c r="AH361" s="560">
        <f t="shared" si="343"/>
        <v>3400000</v>
      </c>
      <c r="AI361" s="560"/>
      <c r="AJ361" s="548">
        <v>0</v>
      </c>
    </row>
    <row r="362" spans="2:36" ht="75" x14ac:dyDescent="0.2">
      <c r="B362" s="85"/>
      <c r="C362" s="86"/>
      <c r="D362" s="86"/>
      <c r="E362" s="86"/>
      <c r="F362" s="86"/>
      <c r="G362" s="86"/>
      <c r="H362" s="86"/>
      <c r="I362" s="86"/>
      <c r="J362" s="86"/>
      <c r="K362" s="93" t="s">
        <v>113185</v>
      </c>
      <c r="L362" s="88" t="s">
        <v>113722</v>
      </c>
      <c r="M362" s="397" t="s">
        <v>113475</v>
      </c>
      <c r="N362" s="90">
        <v>45693</v>
      </c>
      <c r="O362" s="91" t="s">
        <v>113037</v>
      </c>
      <c r="P362" s="91" t="s">
        <v>113022</v>
      </c>
      <c r="Q362" s="91" t="s">
        <v>113498</v>
      </c>
      <c r="R362" s="543"/>
      <c r="S362" s="530">
        <v>34000000</v>
      </c>
      <c r="T362" s="435"/>
      <c r="U362" s="93"/>
      <c r="V362" s="136"/>
      <c r="W362" s="359"/>
      <c r="X362" s="560"/>
      <c r="Y362" s="560">
        <f>$S$362/10</f>
        <v>3400000</v>
      </c>
      <c r="Z362" s="560">
        <f t="shared" ref="Z362:AH362" si="344">$S$362/10</f>
        <v>3400000</v>
      </c>
      <c r="AA362" s="560">
        <f t="shared" si="344"/>
        <v>3400000</v>
      </c>
      <c r="AB362" s="560">
        <f t="shared" si="344"/>
        <v>3400000</v>
      </c>
      <c r="AC362" s="560">
        <f t="shared" si="344"/>
        <v>3400000</v>
      </c>
      <c r="AD362" s="560">
        <f t="shared" si="344"/>
        <v>3400000</v>
      </c>
      <c r="AE362" s="560">
        <f t="shared" si="344"/>
        <v>3400000</v>
      </c>
      <c r="AF362" s="560">
        <f t="shared" si="344"/>
        <v>3400000</v>
      </c>
      <c r="AG362" s="560">
        <f t="shared" si="344"/>
        <v>3400000</v>
      </c>
      <c r="AH362" s="560">
        <f t="shared" si="344"/>
        <v>3400000</v>
      </c>
      <c r="AI362" s="560"/>
      <c r="AJ362" s="548">
        <v>0</v>
      </c>
    </row>
    <row r="363" spans="2:36" ht="75" x14ac:dyDescent="0.2">
      <c r="B363" s="85"/>
      <c r="C363" s="86"/>
      <c r="D363" s="86"/>
      <c r="E363" s="86"/>
      <c r="F363" s="86"/>
      <c r="G363" s="86"/>
      <c r="H363" s="86"/>
      <c r="I363" s="86"/>
      <c r="J363" s="86"/>
      <c r="K363" s="93" t="s">
        <v>113185</v>
      </c>
      <c r="L363" s="88" t="s">
        <v>113722</v>
      </c>
      <c r="M363" s="397" t="s">
        <v>113477</v>
      </c>
      <c r="N363" s="90">
        <v>45693</v>
      </c>
      <c r="O363" s="91" t="s">
        <v>113037</v>
      </c>
      <c r="P363" s="91" t="s">
        <v>113022</v>
      </c>
      <c r="Q363" s="91" t="s">
        <v>113498</v>
      </c>
      <c r="R363" s="543"/>
      <c r="S363" s="530">
        <v>60000000</v>
      </c>
      <c r="T363" s="435"/>
      <c r="U363" s="93"/>
      <c r="V363" s="136"/>
      <c r="W363" s="359"/>
      <c r="X363" s="560"/>
      <c r="Y363" s="560">
        <f>$S$363/10</f>
        <v>6000000</v>
      </c>
      <c r="Z363" s="560">
        <f t="shared" ref="Z363:AH363" si="345">$S$363/10</f>
        <v>6000000</v>
      </c>
      <c r="AA363" s="560">
        <f t="shared" si="345"/>
        <v>6000000</v>
      </c>
      <c r="AB363" s="560">
        <f t="shared" si="345"/>
        <v>6000000</v>
      </c>
      <c r="AC363" s="560">
        <f t="shared" si="345"/>
        <v>6000000</v>
      </c>
      <c r="AD363" s="560">
        <f t="shared" si="345"/>
        <v>6000000</v>
      </c>
      <c r="AE363" s="560">
        <f t="shared" si="345"/>
        <v>6000000</v>
      </c>
      <c r="AF363" s="560">
        <f t="shared" si="345"/>
        <v>6000000</v>
      </c>
      <c r="AG363" s="560">
        <f t="shared" si="345"/>
        <v>6000000</v>
      </c>
      <c r="AH363" s="560">
        <f t="shared" si="345"/>
        <v>6000000</v>
      </c>
      <c r="AI363" s="560"/>
      <c r="AJ363" s="548">
        <v>0</v>
      </c>
    </row>
    <row r="364" spans="2:36" ht="75" x14ac:dyDescent="0.2">
      <c r="B364" s="85"/>
      <c r="C364" s="86"/>
      <c r="D364" s="86"/>
      <c r="E364" s="86"/>
      <c r="F364" s="86"/>
      <c r="G364" s="86"/>
      <c r="H364" s="86"/>
      <c r="I364" s="86"/>
      <c r="J364" s="86"/>
      <c r="K364" s="93" t="s">
        <v>113185</v>
      </c>
      <c r="L364" s="88" t="s">
        <v>113722</v>
      </c>
      <c r="M364" s="397" t="s">
        <v>113478</v>
      </c>
      <c r="N364" s="90">
        <v>45693</v>
      </c>
      <c r="O364" s="91" t="s">
        <v>113037</v>
      </c>
      <c r="P364" s="91" t="s">
        <v>113022</v>
      </c>
      <c r="Q364" s="91" t="s">
        <v>113498</v>
      </c>
      <c r="R364" s="543"/>
      <c r="S364" s="530">
        <v>60000000</v>
      </c>
      <c r="T364" s="435"/>
      <c r="U364" s="93"/>
      <c r="V364" s="136"/>
      <c r="W364" s="359"/>
      <c r="X364" s="560"/>
      <c r="Y364" s="560">
        <f>$S$364/10</f>
        <v>6000000</v>
      </c>
      <c r="Z364" s="560">
        <f t="shared" ref="Z364:AH364" si="346">$S$364/10</f>
        <v>6000000</v>
      </c>
      <c r="AA364" s="560">
        <f t="shared" si="346"/>
        <v>6000000</v>
      </c>
      <c r="AB364" s="560">
        <f t="shared" si="346"/>
        <v>6000000</v>
      </c>
      <c r="AC364" s="560">
        <f t="shared" si="346"/>
        <v>6000000</v>
      </c>
      <c r="AD364" s="560">
        <f t="shared" si="346"/>
        <v>6000000</v>
      </c>
      <c r="AE364" s="560">
        <f t="shared" si="346"/>
        <v>6000000</v>
      </c>
      <c r="AF364" s="560">
        <f t="shared" si="346"/>
        <v>6000000</v>
      </c>
      <c r="AG364" s="560">
        <f t="shared" si="346"/>
        <v>6000000</v>
      </c>
      <c r="AH364" s="560">
        <f t="shared" si="346"/>
        <v>6000000</v>
      </c>
      <c r="AI364" s="560"/>
      <c r="AJ364" s="548">
        <v>0</v>
      </c>
    </row>
    <row r="365" spans="2:36" ht="75" x14ac:dyDescent="0.2">
      <c r="B365" s="85"/>
      <c r="C365" s="86"/>
      <c r="D365" s="86"/>
      <c r="E365" s="86"/>
      <c r="F365" s="86"/>
      <c r="G365" s="86"/>
      <c r="H365" s="86"/>
      <c r="I365" s="86"/>
      <c r="J365" s="86"/>
      <c r="K365" s="93" t="s">
        <v>113185</v>
      </c>
      <c r="L365" s="88" t="s">
        <v>113722</v>
      </c>
      <c r="M365" s="397" t="s">
        <v>113479</v>
      </c>
      <c r="N365" s="90">
        <v>45693</v>
      </c>
      <c r="O365" s="91" t="s">
        <v>113037</v>
      </c>
      <c r="P365" s="91" t="s">
        <v>113022</v>
      </c>
      <c r="Q365" s="91" t="s">
        <v>113498</v>
      </c>
      <c r="R365" s="114"/>
      <c r="S365" s="530">
        <v>60000000</v>
      </c>
      <c r="T365" s="435"/>
      <c r="U365" s="93"/>
      <c r="V365" s="136"/>
      <c r="W365" s="359"/>
      <c r="X365" s="560"/>
      <c r="Y365" s="560">
        <f>$S$365/10</f>
        <v>6000000</v>
      </c>
      <c r="Z365" s="560">
        <f t="shared" ref="Z365:AH365" si="347">$S$365/10</f>
        <v>6000000</v>
      </c>
      <c r="AA365" s="560">
        <f t="shared" si="347"/>
        <v>6000000</v>
      </c>
      <c r="AB365" s="560">
        <f t="shared" si="347"/>
        <v>6000000</v>
      </c>
      <c r="AC365" s="560">
        <f t="shared" si="347"/>
        <v>6000000</v>
      </c>
      <c r="AD365" s="560">
        <f t="shared" si="347"/>
        <v>6000000</v>
      </c>
      <c r="AE365" s="560">
        <f t="shared" si="347"/>
        <v>6000000</v>
      </c>
      <c r="AF365" s="560">
        <f t="shared" si="347"/>
        <v>6000000</v>
      </c>
      <c r="AG365" s="560">
        <f t="shared" si="347"/>
        <v>6000000</v>
      </c>
      <c r="AH365" s="560">
        <f t="shared" si="347"/>
        <v>6000000</v>
      </c>
      <c r="AI365" s="560"/>
      <c r="AJ365" s="548">
        <v>0</v>
      </c>
    </row>
    <row r="366" spans="2:36" ht="75" x14ac:dyDescent="0.2">
      <c r="B366" s="85"/>
      <c r="C366" s="86"/>
      <c r="D366" s="86"/>
      <c r="E366" s="86"/>
      <c r="F366" s="86"/>
      <c r="G366" s="86"/>
      <c r="H366" s="86"/>
      <c r="I366" s="86"/>
      <c r="J366" s="86"/>
      <c r="K366" s="93" t="s">
        <v>113185</v>
      </c>
      <c r="L366" s="88" t="s">
        <v>113722</v>
      </c>
      <c r="M366" s="397" t="s">
        <v>113479</v>
      </c>
      <c r="N366" s="90">
        <v>45693</v>
      </c>
      <c r="O366" s="91" t="s">
        <v>113037</v>
      </c>
      <c r="P366" s="91" t="s">
        <v>113155</v>
      </c>
      <c r="Q366" s="91" t="s">
        <v>113498</v>
      </c>
      <c r="R366" s="543"/>
      <c r="S366" s="530">
        <v>30000000</v>
      </c>
      <c r="T366" s="435"/>
      <c r="U366" s="93"/>
      <c r="V366" s="136"/>
      <c r="W366" s="359"/>
      <c r="X366" s="560"/>
      <c r="Y366" s="560"/>
      <c r="Z366" s="560"/>
      <c r="AA366" s="560"/>
      <c r="AB366" s="560"/>
      <c r="AC366" s="560">
        <f>$S$366/5</f>
        <v>6000000</v>
      </c>
      <c r="AD366" s="560">
        <f t="shared" ref="AD366:AG366" si="348">$S$366/5</f>
        <v>6000000</v>
      </c>
      <c r="AE366" s="560">
        <f t="shared" si="348"/>
        <v>6000000</v>
      </c>
      <c r="AF366" s="560">
        <f t="shared" si="348"/>
        <v>6000000</v>
      </c>
      <c r="AG366" s="560">
        <f t="shared" si="348"/>
        <v>6000000</v>
      </c>
      <c r="AH366" s="560"/>
      <c r="AI366" s="560"/>
      <c r="AJ366" s="548">
        <v>0</v>
      </c>
    </row>
    <row r="367" spans="2:36" ht="75" x14ac:dyDescent="0.2">
      <c r="B367" s="85"/>
      <c r="C367" s="86"/>
      <c r="D367" s="86"/>
      <c r="E367" s="86"/>
      <c r="F367" s="86"/>
      <c r="G367" s="86"/>
      <c r="H367" s="86"/>
      <c r="I367" s="86"/>
      <c r="J367" s="86"/>
      <c r="K367" s="93" t="s">
        <v>113185</v>
      </c>
      <c r="L367" s="88" t="s">
        <v>113722</v>
      </c>
      <c r="M367" s="397" t="s">
        <v>113480</v>
      </c>
      <c r="N367" s="90">
        <v>45693</v>
      </c>
      <c r="O367" s="91" t="s">
        <v>113037</v>
      </c>
      <c r="P367" s="91" t="s">
        <v>113816</v>
      </c>
      <c r="Q367" s="91" t="s">
        <v>113498</v>
      </c>
      <c r="R367" s="543"/>
      <c r="S367" s="530">
        <f>54000000+24000000</f>
        <v>78000000</v>
      </c>
      <c r="T367" s="435"/>
      <c r="U367" s="93"/>
      <c r="V367" s="136"/>
      <c r="W367" s="359"/>
      <c r="X367" s="560">
        <f>$S$367/9</f>
        <v>8666666.666666666</v>
      </c>
      <c r="Y367" s="560">
        <f t="shared" ref="Y367:AF367" si="349">$S$367/9</f>
        <v>8666666.666666666</v>
      </c>
      <c r="Z367" s="560">
        <f t="shared" si="349"/>
        <v>8666666.666666666</v>
      </c>
      <c r="AA367" s="560">
        <f t="shared" si="349"/>
        <v>8666666.666666666</v>
      </c>
      <c r="AB367" s="560">
        <f t="shared" si="349"/>
        <v>8666666.666666666</v>
      </c>
      <c r="AC367" s="560">
        <f t="shared" si="349"/>
        <v>8666666.666666666</v>
      </c>
      <c r="AD367" s="560">
        <f t="shared" si="349"/>
        <v>8666666.666666666</v>
      </c>
      <c r="AE367" s="560">
        <f t="shared" si="349"/>
        <v>8666666.666666666</v>
      </c>
      <c r="AF367" s="560">
        <f t="shared" si="349"/>
        <v>8666666.666666666</v>
      </c>
      <c r="AG367" s="560"/>
      <c r="AH367" s="560"/>
      <c r="AI367" s="560"/>
      <c r="AJ367" s="548">
        <v>0</v>
      </c>
    </row>
    <row r="368" spans="2:36" ht="75" x14ac:dyDescent="0.2">
      <c r="B368" s="85"/>
      <c r="C368" s="86"/>
      <c r="D368" s="86"/>
      <c r="E368" s="86"/>
      <c r="F368" s="86"/>
      <c r="G368" s="86"/>
      <c r="H368" s="86"/>
      <c r="I368" s="86"/>
      <c r="J368" s="86"/>
      <c r="K368" s="93" t="s">
        <v>113185</v>
      </c>
      <c r="L368" s="88" t="s">
        <v>113817</v>
      </c>
      <c r="M368" s="397" t="s">
        <v>113480</v>
      </c>
      <c r="N368" s="90">
        <v>45693</v>
      </c>
      <c r="O368" s="91" t="s">
        <v>113037</v>
      </c>
      <c r="P368" s="91" t="s">
        <v>113814</v>
      </c>
      <c r="Q368" s="91" t="s">
        <v>113498</v>
      </c>
      <c r="R368" s="543"/>
      <c r="S368" s="530">
        <v>36000000</v>
      </c>
      <c r="T368" s="435"/>
      <c r="U368" s="93"/>
      <c r="V368" s="136"/>
      <c r="W368" s="359"/>
      <c r="X368" s="560">
        <f>$S$368/6</f>
        <v>6000000</v>
      </c>
      <c r="Y368" s="560">
        <f t="shared" ref="Y368:AC368" si="350">$S$368/6</f>
        <v>6000000</v>
      </c>
      <c r="Z368" s="560">
        <f t="shared" si="350"/>
        <v>6000000</v>
      </c>
      <c r="AA368" s="560">
        <f t="shared" si="350"/>
        <v>6000000</v>
      </c>
      <c r="AB368" s="560">
        <f t="shared" si="350"/>
        <v>6000000</v>
      </c>
      <c r="AC368" s="560">
        <f t="shared" si="350"/>
        <v>6000000</v>
      </c>
      <c r="AD368" s="560"/>
      <c r="AE368" s="560"/>
      <c r="AF368" s="560"/>
      <c r="AG368" s="560"/>
      <c r="AH368" s="560"/>
      <c r="AI368" s="560"/>
      <c r="AJ368" s="548"/>
    </row>
    <row r="369" spans="2:36" ht="30" x14ac:dyDescent="0.2">
      <c r="B369" s="85"/>
      <c r="C369" s="86"/>
      <c r="D369" s="86"/>
      <c r="E369" s="86"/>
      <c r="F369" s="86"/>
      <c r="G369" s="86"/>
      <c r="H369" s="86"/>
      <c r="I369" s="86"/>
      <c r="J369" s="86"/>
      <c r="K369" s="93" t="s">
        <v>113185</v>
      </c>
      <c r="L369" s="88">
        <v>90121600</v>
      </c>
      <c r="M369" s="398" t="s">
        <v>113842</v>
      </c>
      <c r="N369" s="90">
        <v>45693</v>
      </c>
      <c r="O369" s="91" t="s">
        <v>113037</v>
      </c>
      <c r="P369" s="91" t="s">
        <v>113022</v>
      </c>
      <c r="Q369" s="91" t="s">
        <v>113008</v>
      </c>
      <c r="R369" s="114">
        <v>35000000</v>
      </c>
      <c r="S369" s="530">
        <v>35000000</v>
      </c>
      <c r="T369" s="435"/>
      <c r="U369" s="93"/>
      <c r="V369" s="136"/>
      <c r="W369" s="359"/>
      <c r="X369" s="560"/>
      <c r="Y369" s="560">
        <v>6000000</v>
      </c>
      <c r="Z369" s="560"/>
      <c r="AA369" s="560"/>
      <c r="AB369" s="560"/>
      <c r="AC369" s="560">
        <v>10000000</v>
      </c>
      <c r="AD369" s="560"/>
      <c r="AE369" s="560"/>
      <c r="AF369" s="560">
        <v>10000000</v>
      </c>
      <c r="AG369" s="560"/>
      <c r="AH369" s="560"/>
      <c r="AI369" s="560">
        <v>9000000</v>
      </c>
      <c r="AJ369" s="548">
        <v>0</v>
      </c>
    </row>
    <row r="370" spans="2:36" x14ac:dyDescent="0.2">
      <c r="B370" s="85"/>
      <c r="C370" s="86"/>
      <c r="D370" s="86"/>
      <c r="E370" s="86"/>
      <c r="F370" s="86"/>
      <c r="G370" s="86"/>
      <c r="H370" s="86"/>
      <c r="I370" s="86"/>
      <c r="J370" s="86"/>
      <c r="K370" s="93" t="s">
        <v>113185</v>
      </c>
      <c r="L370" s="88">
        <v>90111500</v>
      </c>
      <c r="M370" s="398" t="s">
        <v>113482</v>
      </c>
      <c r="N370" s="90"/>
      <c r="O370" s="90"/>
      <c r="P370" s="91"/>
      <c r="Q370" s="91"/>
      <c r="R370" s="114">
        <v>45400000</v>
      </c>
      <c r="S370" s="530">
        <v>45400000</v>
      </c>
      <c r="T370" s="435"/>
      <c r="U370" s="93"/>
      <c r="V370" s="136"/>
      <c r="W370" s="359"/>
      <c r="X370" s="560">
        <v>3000000</v>
      </c>
      <c r="Y370" s="560">
        <v>3000000</v>
      </c>
      <c r="Z370" s="560">
        <v>3000000</v>
      </c>
      <c r="AA370" s="560">
        <v>3000000</v>
      </c>
      <c r="AB370" s="560">
        <v>6000000</v>
      </c>
      <c r="AC370" s="560">
        <v>8000000</v>
      </c>
      <c r="AD370" s="560">
        <v>3000000</v>
      </c>
      <c r="AE370" s="560">
        <v>2000000</v>
      </c>
      <c r="AF370" s="560">
        <v>6000000</v>
      </c>
      <c r="AG370" s="560">
        <v>3000000</v>
      </c>
      <c r="AH370" s="560">
        <v>3000000</v>
      </c>
      <c r="AI370" s="560">
        <v>2400000</v>
      </c>
      <c r="AJ370" s="548">
        <v>0</v>
      </c>
    </row>
    <row r="371" spans="2:36" x14ac:dyDescent="0.2">
      <c r="B371" s="85"/>
      <c r="C371" s="86"/>
      <c r="D371" s="86"/>
      <c r="E371" s="86"/>
      <c r="F371" s="86"/>
      <c r="G371" s="86"/>
      <c r="H371" s="86"/>
      <c r="I371" s="86"/>
      <c r="J371" s="86"/>
      <c r="K371" s="93" t="s">
        <v>113185</v>
      </c>
      <c r="L371" s="88"/>
      <c r="M371" s="89" t="s">
        <v>113483</v>
      </c>
      <c r="N371" s="90"/>
      <c r="O371" s="90"/>
      <c r="P371" s="91"/>
      <c r="Q371" s="91"/>
      <c r="R371" s="114">
        <f>360000000+65000000</f>
        <v>425000000</v>
      </c>
      <c r="S371" s="530">
        <v>425000000</v>
      </c>
      <c r="T371" s="435"/>
      <c r="U371" s="93"/>
      <c r="V371" s="136"/>
      <c r="W371" s="359"/>
      <c r="X371" s="560"/>
      <c r="Y371" s="560"/>
      <c r="Z371" s="560">
        <v>300000000</v>
      </c>
      <c r="AA371" s="560"/>
      <c r="AB371" s="560"/>
      <c r="AC371" s="560"/>
      <c r="AD371" s="560"/>
      <c r="AE371" s="560"/>
      <c r="AF371" s="560"/>
      <c r="AG371" s="560">
        <v>125000000</v>
      </c>
      <c r="AH371" s="560"/>
      <c r="AI371" s="560"/>
      <c r="AJ371" s="548">
        <v>0</v>
      </c>
    </row>
    <row r="372" spans="2:36" x14ac:dyDescent="0.2">
      <c r="B372" s="85"/>
      <c r="C372" s="86"/>
      <c r="D372" s="86"/>
      <c r="E372" s="86"/>
      <c r="F372" s="86"/>
      <c r="G372" s="86"/>
      <c r="H372" s="86"/>
      <c r="I372" s="86"/>
      <c r="J372" s="86"/>
      <c r="K372" s="93" t="s">
        <v>113185</v>
      </c>
      <c r="L372" s="88"/>
      <c r="M372" s="89" t="s">
        <v>113032</v>
      </c>
      <c r="N372" s="90"/>
      <c r="O372" s="90"/>
      <c r="P372" s="91"/>
      <c r="Q372" s="91"/>
      <c r="R372" s="114">
        <v>52000000</v>
      </c>
      <c r="S372" s="530">
        <v>52000000</v>
      </c>
      <c r="T372" s="435"/>
      <c r="U372" s="93"/>
      <c r="V372" s="136"/>
      <c r="W372" s="359"/>
      <c r="X372" s="560">
        <v>6000000</v>
      </c>
      <c r="Y372" s="560">
        <v>2000000</v>
      </c>
      <c r="Z372" s="560">
        <v>3000000</v>
      </c>
      <c r="AA372" s="560">
        <v>6000000</v>
      </c>
      <c r="AB372" s="560">
        <v>4000000</v>
      </c>
      <c r="AC372" s="560">
        <v>4000000</v>
      </c>
      <c r="AD372" s="560">
        <v>6000000</v>
      </c>
      <c r="AE372" s="560">
        <v>6000000</v>
      </c>
      <c r="AF372" s="560">
        <v>5000000</v>
      </c>
      <c r="AG372" s="560">
        <v>4000000</v>
      </c>
      <c r="AH372" s="560">
        <v>4000000</v>
      </c>
      <c r="AI372" s="560">
        <v>2000000</v>
      </c>
      <c r="AJ372" s="548">
        <v>0</v>
      </c>
    </row>
    <row r="373" spans="2:36" ht="30" x14ac:dyDescent="0.2">
      <c r="B373" s="248" t="s">
        <v>113163</v>
      </c>
      <c r="C373" s="248">
        <v>1505</v>
      </c>
      <c r="D373" s="297" t="s">
        <v>113167</v>
      </c>
      <c r="E373" s="297" t="s">
        <v>105917</v>
      </c>
      <c r="F373" s="248"/>
      <c r="G373" s="248"/>
      <c r="H373" s="248"/>
      <c r="I373" s="248"/>
      <c r="J373" s="390"/>
      <c r="K373" s="248"/>
      <c r="L373" s="62"/>
      <c r="M373" s="63" t="s">
        <v>113225</v>
      </c>
      <c r="N373" s="64"/>
      <c r="O373" s="64" t="s">
        <v>112995</v>
      </c>
      <c r="P373" s="65"/>
      <c r="Q373" s="65"/>
      <c r="R373" s="280">
        <f>+R374</f>
        <v>17765000000</v>
      </c>
      <c r="S373" s="280">
        <f>+S374</f>
        <v>21000000000</v>
      </c>
      <c r="T373" s="453">
        <f>T374</f>
        <v>17765000000</v>
      </c>
      <c r="U373" s="281"/>
      <c r="V373" s="281"/>
      <c r="W373" s="368"/>
      <c r="X373" s="280">
        <f t="shared" ref="X373:AI373" si="351">+X374</f>
        <v>2000000</v>
      </c>
      <c r="Y373" s="280">
        <f t="shared" si="351"/>
        <v>175500000</v>
      </c>
      <c r="Z373" s="280">
        <f t="shared" si="351"/>
        <v>172180204.59999999</v>
      </c>
      <c r="AA373" s="280">
        <f t="shared" si="351"/>
        <v>195180204.59999999</v>
      </c>
      <c r="AB373" s="280">
        <f t="shared" si="351"/>
        <v>228180204.59999999</v>
      </c>
      <c r="AC373" s="280">
        <f t="shared" si="351"/>
        <v>755180204.60000002</v>
      </c>
      <c r="AD373" s="280">
        <f t="shared" si="351"/>
        <v>2040931204.5999999</v>
      </c>
      <c r="AE373" s="280">
        <f t="shared" si="351"/>
        <v>3055931204.5999999</v>
      </c>
      <c r="AF373" s="280">
        <f t="shared" si="351"/>
        <v>2925931204.5999999</v>
      </c>
      <c r="AG373" s="280">
        <f t="shared" si="351"/>
        <v>3298431204.5999999</v>
      </c>
      <c r="AH373" s="280">
        <f t="shared" si="351"/>
        <v>2093631204.5999999</v>
      </c>
      <c r="AI373" s="280">
        <f t="shared" si="351"/>
        <v>3342923158.5999999</v>
      </c>
      <c r="AJ373" s="548">
        <v>0</v>
      </c>
    </row>
    <row r="374" spans="2:36" ht="15.75" x14ac:dyDescent="0.2">
      <c r="B374" s="283" t="s">
        <v>113163</v>
      </c>
      <c r="C374" s="283">
        <v>1505</v>
      </c>
      <c r="D374" s="283" t="s">
        <v>113167</v>
      </c>
      <c r="E374" s="283" t="s">
        <v>105917</v>
      </c>
      <c r="F374" s="283" t="s">
        <v>113226</v>
      </c>
      <c r="G374" s="283">
        <v>1505006</v>
      </c>
      <c r="H374" s="283"/>
      <c r="I374" s="283"/>
      <c r="J374" s="394"/>
      <c r="K374" s="283"/>
      <c r="L374" s="33"/>
      <c r="M374" s="34" t="s">
        <v>113403</v>
      </c>
      <c r="N374" s="284"/>
      <c r="O374" s="284" t="s">
        <v>112995</v>
      </c>
      <c r="P374" s="285"/>
      <c r="Q374" s="285"/>
      <c r="R374" s="37">
        <f>SUM(R375:R389)</f>
        <v>17765000000</v>
      </c>
      <c r="S374" s="37">
        <f>SUM(S375:S389)</f>
        <v>21000000000</v>
      </c>
      <c r="T374" s="424">
        <v>17765000000</v>
      </c>
      <c r="U374" s="38"/>
      <c r="V374" s="38"/>
      <c r="W374" s="369"/>
      <c r="X374" s="37">
        <f t="shared" ref="X374:Y374" si="352">SUM(X375:X389)</f>
        <v>2000000</v>
      </c>
      <c r="Y374" s="37">
        <f t="shared" si="352"/>
        <v>175500000</v>
      </c>
      <c r="Z374" s="37">
        <f t="shared" ref="Z374:AC374" si="353">SUM(Z375:Z389)</f>
        <v>172180204.59999999</v>
      </c>
      <c r="AA374" s="37">
        <f t="shared" si="353"/>
        <v>195180204.59999999</v>
      </c>
      <c r="AB374" s="37">
        <f t="shared" si="353"/>
        <v>228180204.59999999</v>
      </c>
      <c r="AC374" s="37">
        <f t="shared" si="353"/>
        <v>755180204.60000002</v>
      </c>
      <c r="AD374" s="37">
        <f t="shared" ref="AD374:AI374" si="354">SUM(AD375:AD389)</f>
        <v>2040931204.5999999</v>
      </c>
      <c r="AE374" s="37">
        <f t="shared" si="354"/>
        <v>3055931204.5999999</v>
      </c>
      <c r="AF374" s="37">
        <f t="shared" si="354"/>
        <v>2925931204.5999999</v>
      </c>
      <c r="AG374" s="37">
        <f t="shared" si="354"/>
        <v>3298431204.5999999</v>
      </c>
      <c r="AH374" s="37">
        <f t="shared" si="354"/>
        <v>2093631204.5999999</v>
      </c>
      <c r="AI374" s="37">
        <f t="shared" si="354"/>
        <v>3342923158.5999999</v>
      </c>
      <c r="AJ374" s="548">
        <v>0</v>
      </c>
    </row>
    <row r="375" spans="2:36" ht="60" x14ac:dyDescent="0.2">
      <c r="B375" s="85"/>
      <c r="C375" s="86"/>
      <c r="D375" s="86"/>
      <c r="E375" s="86"/>
      <c r="F375" s="86"/>
      <c r="G375" s="86"/>
      <c r="H375" s="86"/>
      <c r="I375" s="86"/>
      <c r="J375" s="86"/>
      <c r="K375" s="93" t="s">
        <v>113174</v>
      </c>
      <c r="L375" s="88" t="s">
        <v>113170</v>
      </c>
      <c r="M375" s="398" t="s">
        <v>113849</v>
      </c>
      <c r="N375" s="90">
        <v>45662</v>
      </c>
      <c r="O375" s="90" t="s">
        <v>113060</v>
      </c>
      <c r="P375" s="91" t="s">
        <v>113022</v>
      </c>
      <c r="Q375" s="91" t="s">
        <v>113715</v>
      </c>
      <c r="R375" s="114">
        <v>6832400355</v>
      </c>
      <c r="S375" s="530">
        <f>6832400355-26814526-254928-149796173.52</f>
        <v>6655534727.4799995</v>
      </c>
      <c r="T375" s="435"/>
      <c r="U375" s="287"/>
      <c r="V375" s="288"/>
      <c r="W375" s="318"/>
      <c r="X375" s="560"/>
      <c r="Y375" s="560"/>
      <c r="Z375" s="560"/>
      <c r="AA375" s="560">
        <v>120000000</v>
      </c>
      <c r="AB375" s="560"/>
      <c r="AC375" s="560">
        <v>680000000</v>
      </c>
      <c r="AD375" s="560">
        <v>600000000</v>
      </c>
      <c r="AE375" s="560">
        <v>1500000000</v>
      </c>
      <c r="AF375" s="560">
        <v>870000000</v>
      </c>
      <c r="AG375" s="560">
        <v>1050000000</v>
      </c>
      <c r="AH375" s="560">
        <v>650000000</v>
      </c>
      <c r="AI375" s="560">
        <v>1362400355</v>
      </c>
      <c r="AJ375" s="548">
        <v>0</v>
      </c>
    </row>
    <row r="376" spans="2:36" ht="90" x14ac:dyDescent="0.2">
      <c r="B376" s="85"/>
      <c r="C376" s="86"/>
      <c r="D376" s="86"/>
      <c r="E376" s="86"/>
      <c r="F376" s="86"/>
      <c r="G376" s="86"/>
      <c r="H376" s="86"/>
      <c r="I376" s="86"/>
      <c r="J376" s="86"/>
      <c r="K376" s="93" t="s">
        <v>113174</v>
      </c>
      <c r="L376" s="88">
        <v>81101500</v>
      </c>
      <c r="M376" s="398" t="s">
        <v>113485</v>
      </c>
      <c r="N376" s="90">
        <v>45662</v>
      </c>
      <c r="O376" s="90" t="s">
        <v>113060</v>
      </c>
      <c r="P376" s="91" t="s">
        <v>113022</v>
      </c>
      <c r="Q376" s="91" t="s">
        <v>113716</v>
      </c>
      <c r="R376" s="114">
        <v>566802046</v>
      </c>
      <c r="S376" s="530">
        <v>566802046</v>
      </c>
      <c r="T376" s="435"/>
      <c r="U376" s="287"/>
      <c r="V376" s="288"/>
      <c r="W376" s="318"/>
      <c r="X376" s="560"/>
      <c r="Y376" s="560"/>
      <c r="Z376" s="560">
        <f>$S$376/10</f>
        <v>56680204.600000001</v>
      </c>
      <c r="AA376" s="560">
        <f t="shared" ref="AA376:AI376" si="355">$S$376/10</f>
        <v>56680204.600000001</v>
      </c>
      <c r="AB376" s="560">
        <f t="shared" si="355"/>
        <v>56680204.600000001</v>
      </c>
      <c r="AC376" s="560">
        <f t="shared" si="355"/>
        <v>56680204.600000001</v>
      </c>
      <c r="AD376" s="560">
        <f t="shared" si="355"/>
        <v>56680204.600000001</v>
      </c>
      <c r="AE376" s="560">
        <f t="shared" si="355"/>
        <v>56680204.600000001</v>
      </c>
      <c r="AF376" s="560">
        <f t="shared" si="355"/>
        <v>56680204.600000001</v>
      </c>
      <c r="AG376" s="560">
        <f t="shared" si="355"/>
        <v>56680204.600000001</v>
      </c>
      <c r="AH376" s="560">
        <f t="shared" si="355"/>
        <v>56680204.600000001</v>
      </c>
      <c r="AI376" s="560">
        <f t="shared" si="355"/>
        <v>56680204.600000001</v>
      </c>
      <c r="AJ376" s="548">
        <v>0</v>
      </c>
    </row>
    <row r="377" spans="2:36" ht="45" x14ac:dyDescent="0.2">
      <c r="B377" s="85"/>
      <c r="C377" s="86"/>
      <c r="D377" s="86"/>
      <c r="E377" s="86"/>
      <c r="F377" s="86"/>
      <c r="G377" s="86"/>
      <c r="H377" s="86"/>
      <c r="I377" s="86"/>
      <c r="J377" s="86"/>
      <c r="K377" s="93" t="s">
        <v>113174</v>
      </c>
      <c r="L377" s="88" t="s">
        <v>113170</v>
      </c>
      <c r="M377" s="398" t="s">
        <v>113486</v>
      </c>
      <c r="N377" s="90">
        <v>45813</v>
      </c>
      <c r="O377" s="90" t="s">
        <v>113208</v>
      </c>
      <c r="P377" s="91" t="s">
        <v>113725</v>
      </c>
      <c r="Q377" s="91" t="s">
        <v>113715</v>
      </c>
      <c r="R377" s="114">
        <v>5645494000</v>
      </c>
      <c r="S377" s="530">
        <v>5645494000</v>
      </c>
      <c r="T377" s="435"/>
      <c r="U377" s="287"/>
      <c r="V377" s="525">
        <v>11000000000</v>
      </c>
      <c r="W377" s="318"/>
      <c r="X377" s="560"/>
      <c r="Y377" s="560"/>
      <c r="Z377" s="560"/>
      <c r="AA377" s="560"/>
      <c r="AB377" s="560"/>
      <c r="AC377" s="560"/>
      <c r="AD377" s="560">
        <v>680000000</v>
      </c>
      <c r="AE377" s="560">
        <v>850000000</v>
      </c>
      <c r="AF377" s="560">
        <v>1250000000</v>
      </c>
      <c r="AG377" s="560">
        <v>800000000</v>
      </c>
      <c r="AH377" s="560">
        <v>1075000000</v>
      </c>
      <c r="AI377" s="560">
        <v>990494000</v>
      </c>
      <c r="AJ377" s="548">
        <v>0</v>
      </c>
    </row>
    <row r="378" spans="2:36" ht="60" x14ac:dyDescent="0.2">
      <c r="B378" s="85"/>
      <c r="C378" s="86"/>
      <c r="D378" s="86"/>
      <c r="E378" s="86"/>
      <c r="F378" s="86"/>
      <c r="G378" s="86"/>
      <c r="H378" s="86"/>
      <c r="I378" s="86"/>
      <c r="J378" s="86"/>
      <c r="K378" s="93" t="s">
        <v>113174</v>
      </c>
      <c r="L378" s="88">
        <v>81101500</v>
      </c>
      <c r="M378" s="398" t="s">
        <v>113487</v>
      </c>
      <c r="N378" s="90">
        <v>45813</v>
      </c>
      <c r="O378" s="90" t="s">
        <v>113208</v>
      </c>
      <c r="P378" s="91" t="s">
        <v>113725</v>
      </c>
      <c r="Q378" s="91" t="s">
        <v>113716</v>
      </c>
      <c r="R378" s="114">
        <v>720331546</v>
      </c>
      <c r="S378" s="530">
        <v>720331546</v>
      </c>
      <c r="T378" s="435"/>
      <c r="U378" s="287"/>
      <c r="V378" s="525">
        <v>700000000</v>
      </c>
      <c r="W378" s="318"/>
      <c r="X378" s="560"/>
      <c r="Y378" s="560"/>
      <c r="Z378" s="560"/>
      <c r="AA378" s="560"/>
      <c r="AB378" s="560"/>
      <c r="AC378" s="560"/>
      <c r="AD378" s="560">
        <f>$S$378/6</f>
        <v>120055257.66666667</v>
      </c>
      <c r="AE378" s="560">
        <f t="shared" ref="AE378:AI378" si="356">$S$378/6</f>
        <v>120055257.66666667</v>
      </c>
      <c r="AF378" s="560">
        <f t="shared" si="356"/>
        <v>120055257.66666667</v>
      </c>
      <c r="AG378" s="560">
        <f t="shared" si="356"/>
        <v>120055257.66666667</v>
      </c>
      <c r="AH378" s="560">
        <f t="shared" si="356"/>
        <v>120055257.66666667</v>
      </c>
      <c r="AI378" s="560">
        <f t="shared" si="356"/>
        <v>120055257.66666667</v>
      </c>
      <c r="AJ378" s="548">
        <v>0</v>
      </c>
    </row>
    <row r="379" spans="2:36" ht="60.75" customHeight="1" x14ac:dyDescent="0.2">
      <c r="B379" s="85"/>
      <c r="C379" s="86"/>
      <c r="D379" s="86"/>
      <c r="E379" s="86"/>
      <c r="F379" s="86"/>
      <c r="G379" s="86"/>
      <c r="H379" s="86"/>
      <c r="I379" s="86"/>
      <c r="J379" s="86"/>
      <c r="K379" s="93" t="s">
        <v>113174</v>
      </c>
      <c r="L379" s="88" t="s">
        <v>113170</v>
      </c>
      <c r="M379" s="398" t="s">
        <v>113869</v>
      </c>
      <c r="N379" s="90">
        <v>45721</v>
      </c>
      <c r="O379" s="90" t="s">
        <v>113006</v>
      </c>
      <c r="P379" s="91" t="s">
        <v>113002</v>
      </c>
      <c r="Q379" s="91" t="s">
        <v>113715</v>
      </c>
      <c r="R379" s="114">
        <v>1200000000</v>
      </c>
      <c r="S379" s="530">
        <f>1464000000-52403826.48</f>
        <v>1411596173.52</v>
      </c>
      <c r="T379" s="435"/>
      <c r="U379" s="139"/>
      <c r="V379" s="114"/>
      <c r="W379" s="318"/>
      <c r="X379" s="560"/>
      <c r="Y379" s="560"/>
      <c r="Z379" s="560"/>
      <c r="AA379" s="560"/>
      <c r="AB379" s="560">
        <v>168000000</v>
      </c>
      <c r="AC379" s="560"/>
      <c r="AD379" s="560">
        <v>320000000</v>
      </c>
      <c r="AE379" s="560"/>
      <c r="AF379" s="560">
        <v>400000000</v>
      </c>
      <c r="AG379" s="560">
        <v>312000000</v>
      </c>
      <c r="AH379" s="560"/>
      <c r="AI379" s="560"/>
      <c r="AJ379" s="548">
        <v>0</v>
      </c>
    </row>
    <row r="380" spans="2:36" ht="75" x14ac:dyDescent="0.2">
      <c r="B380" s="85"/>
      <c r="C380" s="86"/>
      <c r="D380" s="86"/>
      <c r="E380" s="86"/>
      <c r="F380" s="86"/>
      <c r="G380" s="86"/>
      <c r="H380" s="86"/>
      <c r="I380" s="86"/>
      <c r="J380" s="86"/>
      <c r="K380" s="93" t="s">
        <v>113174</v>
      </c>
      <c r="L380" s="88">
        <v>81101500</v>
      </c>
      <c r="M380" s="398" t="s">
        <v>113489</v>
      </c>
      <c r="N380" s="90">
        <v>45721</v>
      </c>
      <c r="O380" s="90" t="s">
        <v>113006</v>
      </c>
      <c r="P380" s="91" t="s">
        <v>113002</v>
      </c>
      <c r="Q380" s="91" t="s">
        <v>113716</v>
      </c>
      <c r="R380" s="114">
        <v>140000000</v>
      </c>
      <c r="S380" s="530">
        <f>150000000-150000000</f>
        <v>0</v>
      </c>
      <c r="T380" s="435"/>
      <c r="U380" s="139"/>
      <c r="V380" s="114"/>
      <c r="W380" s="318"/>
      <c r="X380" s="560"/>
      <c r="Y380" s="560"/>
      <c r="Z380" s="560"/>
      <c r="AA380" s="560"/>
      <c r="AB380" s="560">
        <f>$S$380/6</f>
        <v>0</v>
      </c>
      <c r="AC380" s="560">
        <f t="shared" ref="AC380:AG380" si="357">$S$380/6</f>
        <v>0</v>
      </c>
      <c r="AD380" s="560">
        <f t="shared" si="357"/>
        <v>0</v>
      </c>
      <c r="AE380" s="560">
        <f t="shared" si="357"/>
        <v>0</v>
      </c>
      <c r="AF380" s="560">
        <f t="shared" si="357"/>
        <v>0</v>
      </c>
      <c r="AG380" s="560">
        <f t="shared" si="357"/>
        <v>0</v>
      </c>
      <c r="AH380" s="560"/>
      <c r="AI380" s="560"/>
      <c r="AJ380" s="548">
        <v>0</v>
      </c>
    </row>
    <row r="381" spans="2:36" ht="45" x14ac:dyDescent="0.2">
      <c r="B381" s="85"/>
      <c r="C381" s="86"/>
      <c r="D381" s="86"/>
      <c r="E381" s="86"/>
      <c r="F381" s="86"/>
      <c r="G381" s="86"/>
      <c r="H381" s="86"/>
      <c r="I381" s="86"/>
      <c r="J381" s="86"/>
      <c r="K381" s="93" t="s">
        <v>113174</v>
      </c>
      <c r="L381" s="88" t="s">
        <v>113170</v>
      </c>
      <c r="M381" s="398" t="s">
        <v>113490</v>
      </c>
      <c r="N381" s="90">
        <v>45813</v>
      </c>
      <c r="O381" s="90" t="s">
        <v>113208</v>
      </c>
      <c r="P381" s="91" t="s">
        <v>113068</v>
      </c>
      <c r="Q381" s="91" t="s">
        <v>113715</v>
      </c>
      <c r="R381" s="114">
        <v>1871000000</v>
      </c>
      <c r="S381" s="528">
        <f>1851000000+2300000000+149796173.52+150000000+52403826.48</f>
        <v>4503200000</v>
      </c>
      <c r="T381" s="435"/>
      <c r="U381" s="139"/>
      <c r="V381" s="525">
        <v>3700000000</v>
      </c>
      <c r="W381" s="318"/>
      <c r="X381" s="560"/>
      <c r="Y381" s="560"/>
      <c r="Z381" s="560"/>
      <c r="AA381" s="560"/>
      <c r="AB381" s="560"/>
      <c r="AC381" s="560"/>
      <c r="AD381" s="560">
        <v>85000000</v>
      </c>
      <c r="AE381" s="560">
        <v>350000000</v>
      </c>
      <c r="AF381" s="560"/>
      <c r="AG381" s="560">
        <v>780000000</v>
      </c>
      <c r="AH381" s="560"/>
      <c r="AI381" s="560">
        <v>636000000</v>
      </c>
      <c r="AJ381" s="548">
        <v>0</v>
      </c>
    </row>
    <row r="382" spans="2:36" ht="60" x14ac:dyDescent="0.2">
      <c r="B382" s="85"/>
      <c r="C382" s="86"/>
      <c r="D382" s="86"/>
      <c r="E382" s="86"/>
      <c r="F382" s="86"/>
      <c r="G382" s="86"/>
      <c r="H382" s="86"/>
      <c r="I382" s="86"/>
      <c r="J382" s="86"/>
      <c r="K382" s="93" t="s">
        <v>113174</v>
      </c>
      <c r="L382" s="88">
        <v>81101500</v>
      </c>
      <c r="M382" s="398" t="s">
        <v>113491</v>
      </c>
      <c r="N382" s="90">
        <v>45813</v>
      </c>
      <c r="O382" s="90" t="s">
        <v>113208</v>
      </c>
      <c r="P382" s="91" t="s">
        <v>113068</v>
      </c>
      <c r="Q382" s="91" t="s">
        <v>113716</v>
      </c>
      <c r="R382" s="114">
        <f>380000000+14174454</f>
        <v>394174454</v>
      </c>
      <c r="S382" s="528">
        <f>394174454+660000000</f>
        <v>1054174454</v>
      </c>
      <c r="T382" s="435"/>
      <c r="U382" s="139"/>
      <c r="V382" s="525">
        <v>160000000</v>
      </c>
      <c r="W382" s="318"/>
      <c r="X382" s="560"/>
      <c r="Y382" s="560"/>
      <c r="Z382" s="560"/>
      <c r="AA382" s="560"/>
      <c r="AB382" s="560"/>
      <c r="AC382" s="560"/>
      <c r="AD382" s="560">
        <f>$S$382/6</f>
        <v>175695742.33333334</v>
      </c>
      <c r="AE382" s="560">
        <f t="shared" ref="AE382:AI382" si="358">$S$382/6</f>
        <v>175695742.33333334</v>
      </c>
      <c r="AF382" s="560">
        <f t="shared" si="358"/>
        <v>175695742.33333334</v>
      </c>
      <c r="AG382" s="560">
        <f t="shared" si="358"/>
        <v>175695742.33333334</v>
      </c>
      <c r="AH382" s="560">
        <f t="shared" si="358"/>
        <v>175695742.33333334</v>
      </c>
      <c r="AI382" s="560">
        <f t="shared" si="358"/>
        <v>175695742.33333334</v>
      </c>
      <c r="AJ382" s="548">
        <v>0</v>
      </c>
    </row>
    <row r="383" spans="2:36" x14ac:dyDescent="0.2">
      <c r="B383" s="85"/>
      <c r="C383" s="86"/>
      <c r="D383" s="86"/>
      <c r="E383" s="86"/>
      <c r="F383" s="86"/>
      <c r="G383" s="86"/>
      <c r="H383" s="86"/>
      <c r="I383" s="86"/>
      <c r="J383" s="86"/>
      <c r="K383" s="93" t="s">
        <v>113174</v>
      </c>
      <c r="L383" s="88">
        <v>81101500</v>
      </c>
      <c r="M383" s="398" t="s">
        <v>113492</v>
      </c>
      <c r="N383" s="114"/>
      <c r="O383" s="114"/>
      <c r="P383" s="114"/>
      <c r="Q383" s="114"/>
      <c r="R383" s="114">
        <v>94000000</v>
      </c>
      <c r="S383" s="530">
        <f>104000000</f>
        <v>104000000</v>
      </c>
      <c r="T383" s="435"/>
      <c r="U383" s="139"/>
      <c r="V383" s="139"/>
      <c r="W383" s="318"/>
      <c r="X383" s="560"/>
      <c r="Y383" s="560">
        <f>$S$383/2</f>
        <v>52000000</v>
      </c>
      <c r="Z383" s="560">
        <f>$S$383/2</f>
        <v>52000000</v>
      </c>
      <c r="AA383" s="560"/>
      <c r="AB383" s="560"/>
      <c r="AC383" s="560"/>
      <c r="AD383" s="560"/>
      <c r="AE383" s="560"/>
      <c r="AF383" s="560"/>
      <c r="AG383" s="560"/>
      <c r="AH383" s="560"/>
      <c r="AI383" s="560"/>
      <c r="AJ383" s="548">
        <v>0</v>
      </c>
    </row>
    <row r="384" spans="2:36" ht="32.450000000000003" customHeight="1" x14ac:dyDescent="0.2">
      <c r="B384" s="85"/>
      <c r="C384" s="86"/>
      <c r="D384" s="86"/>
      <c r="E384" s="86"/>
      <c r="F384" s="86"/>
      <c r="G384" s="86"/>
      <c r="H384" s="86"/>
      <c r="I384" s="86"/>
      <c r="J384" s="86"/>
      <c r="K384" s="93" t="s">
        <v>113174</v>
      </c>
      <c r="L384" s="88">
        <v>81101500</v>
      </c>
      <c r="M384" s="398" t="s">
        <v>113493</v>
      </c>
      <c r="N384" s="114"/>
      <c r="O384" s="114"/>
      <c r="P384" s="114"/>
      <c r="Q384" s="114"/>
      <c r="R384" s="114">
        <v>109000000</v>
      </c>
      <c r="S384" s="530">
        <f>110000000</f>
        <v>110000000</v>
      </c>
      <c r="T384" s="435"/>
      <c r="U384" s="139"/>
      <c r="V384" s="139"/>
      <c r="W384" s="318"/>
      <c r="X384" s="560"/>
      <c r="Y384" s="560">
        <f>$S$384/2</f>
        <v>55000000</v>
      </c>
      <c r="Z384" s="560">
        <f>$S$384/2</f>
        <v>55000000</v>
      </c>
      <c r="AA384" s="560"/>
      <c r="AB384" s="560"/>
      <c r="AC384" s="560"/>
      <c r="AD384" s="560"/>
      <c r="AE384" s="560"/>
      <c r="AF384" s="560"/>
      <c r="AG384" s="560"/>
      <c r="AH384" s="560"/>
      <c r="AI384" s="560"/>
      <c r="AJ384" s="548">
        <v>0</v>
      </c>
    </row>
    <row r="385" spans="2:36" ht="45" x14ac:dyDescent="0.2">
      <c r="B385" s="85"/>
      <c r="C385" s="86"/>
      <c r="D385" s="86"/>
      <c r="E385" s="86"/>
      <c r="F385" s="86"/>
      <c r="G385" s="86"/>
      <c r="H385" s="86"/>
      <c r="I385" s="86"/>
      <c r="J385" s="86"/>
      <c r="K385" s="93" t="s">
        <v>113174</v>
      </c>
      <c r="L385" s="88"/>
      <c r="M385" s="398" t="s">
        <v>113494</v>
      </c>
      <c r="N385" s="114"/>
      <c r="O385" s="114"/>
      <c r="P385" s="114"/>
      <c r="Q385" s="114"/>
      <c r="R385" s="114">
        <v>65000000</v>
      </c>
      <c r="S385" s="530">
        <f>65000000+26814526+254928</f>
        <v>92069454</v>
      </c>
      <c r="T385" s="435"/>
      <c r="U385" s="139"/>
      <c r="V385" s="139"/>
      <c r="W385" s="318"/>
      <c r="X385" s="560"/>
      <c r="Y385" s="560">
        <v>65000000</v>
      </c>
      <c r="Z385" s="560"/>
      <c r="AA385" s="560"/>
      <c r="AB385" s="560"/>
      <c r="AC385" s="560"/>
      <c r="AD385" s="560"/>
      <c r="AE385" s="560"/>
      <c r="AF385" s="560"/>
      <c r="AG385" s="560"/>
      <c r="AH385" s="560"/>
      <c r="AI385" s="560"/>
      <c r="AJ385" s="548">
        <v>0</v>
      </c>
    </row>
    <row r="386" spans="2:36" ht="45" x14ac:dyDescent="0.2">
      <c r="B386" s="85"/>
      <c r="C386" s="86"/>
      <c r="D386" s="86"/>
      <c r="E386" s="86"/>
      <c r="F386" s="86"/>
      <c r="G386" s="86"/>
      <c r="H386" s="86"/>
      <c r="I386" s="86"/>
      <c r="J386" s="86"/>
      <c r="K386" s="93" t="s">
        <v>113174</v>
      </c>
      <c r="L386" s="88"/>
      <c r="M386" s="398" t="s">
        <v>113495</v>
      </c>
      <c r="N386" s="114"/>
      <c r="O386" s="114"/>
      <c r="P386" s="114"/>
      <c r="Q386" s="114"/>
      <c r="R386" s="114">
        <v>25000000</v>
      </c>
      <c r="S386" s="530">
        <v>15000000</v>
      </c>
      <c r="T386" s="435"/>
      <c r="U386" s="139"/>
      <c r="V386" s="139"/>
      <c r="W386" s="318"/>
      <c r="X386" s="560"/>
      <c r="Y386" s="560"/>
      <c r="Z386" s="560"/>
      <c r="AA386" s="560">
        <v>15000000</v>
      </c>
      <c r="AB386" s="560"/>
      <c r="AC386" s="560"/>
      <c r="AD386" s="560"/>
      <c r="AE386" s="560"/>
      <c r="AF386" s="560"/>
      <c r="AG386" s="560"/>
      <c r="AH386" s="560"/>
      <c r="AI386" s="560"/>
      <c r="AJ386" s="548">
        <v>0</v>
      </c>
    </row>
    <row r="387" spans="2:36" ht="30" x14ac:dyDescent="0.2">
      <c r="B387" s="85"/>
      <c r="C387" s="86"/>
      <c r="D387" s="86"/>
      <c r="E387" s="86"/>
      <c r="F387" s="86"/>
      <c r="G387" s="86"/>
      <c r="H387" s="86"/>
      <c r="I387" s="86"/>
      <c r="J387" s="86"/>
      <c r="K387" s="93" t="s">
        <v>113174</v>
      </c>
      <c r="L387" s="88">
        <v>90121600</v>
      </c>
      <c r="M387" s="398" t="s">
        <v>113839</v>
      </c>
      <c r="N387" s="90">
        <v>45719</v>
      </c>
      <c r="O387" s="90" t="s">
        <v>113001</v>
      </c>
      <c r="P387" s="91" t="s">
        <v>113022</v>
      </c>
      <c r="Q387" s="91" t="s">
        <v>113008</v>
      </c>
      <c r="R387" s="114">
        <v>20000000</v>
      </c>
      <c r="S387" s="530">
        <v>35000000</v>
      </c>
      <c r="T387" s="435"/>
      <c r="U387" s="139"/>
      <c r="V387" s="139"/>
      <c r="W387" s="318"/>
      <c r="X387" s="560"/>
      <c r="Y387" s="560"/>
      <c r="Z387" s="560">
        <v>5000000</v>
      </c>
      <c r="AA387" s="560"/>
      <c r="AB387" s="560"/>
      <c r="AC387" s="560">
        <v>15000000</v>
      </c>
      <c r="AD387" s="560"/>
      <c r="AE387" s="560"/>
      <c r="AF387" s="560"/>
      <c r="AG387" s="560"/>
      <c r="AH387" s="560">
        <v>15000000</v>
      </c>
      <c r="AI387" s="560"/>
      <c r="AJ387" s="548">
        <v>0</v>
      </c>
    </row>
    <row r="388" spans="2:36" x14ac:dyDescent="0.2">
      <c r="B388" s="85"/>
      <c r="C388" s="86"/>
      <c r="D388" s="86"/>
      <c r="E388" s="86"/>
      <c r="F388" s="86"/>
      <c r="G388" s="86"/>
      <c r="H388" s="86"/>
      <c r="I388" s="86"/>
      <c r="J388" s="86"/>
      <c r="K388" s="93" t="s">
        <v>113174</v>
      </c>
      <c r="L388" s="88">
        <v>90111500</v>
      </c>
      <c r="M388" s="398" t="s">
        <v>113482</v>
      </c>
      <c r="N388" s="114"/>
      <c r="O388" s="114"/>
      <c r="P388" s="114"/>
      <c r="Q388" s="114"/>
      <c r="R388" s="114">
        <v>31797599</v>
      </c>
      <c r="S388" s="530">
        <f>36797599</f>
        <v>36797599</v>
      </c>
      <c r="T388" s="435"/>
      <c r="U388" s="139"/>
      <c r="V388" s="139"/>
      <c r="W388" s="318"/>
      <c r="X388" s="560">
        <v>2000000</v>
      </c>
      <c r="Y388" s="560">
        <v>3500000</v>
      </c>
      <c r="Z388" s="560">
        <v>3500000</v>
      </c>
      <c r="AA388" s="560">
        <v>3500000</v>
      </c>
      <c r="AB388" s="560">
        <v>3500000</v>
      </c>
      <c r="AC388" s="560">
        <v>3500000</v>
      </c>
      <c r="AD388" s="560">
        <v>3500000</v>
      </c>
      <c r="AE388" s="560">
        <v>3500000</v>
      </c>
      <c r="AF388" s="560">
        <v>3500000</v>
      </c>
      <c r="AG388" s="560">
        <v>4000000</v>
      </c>
      <c r="AH388" s="560">
        <v>1200000</v>
      </c>
      <c r="AI388" s="560">
        <v>1597599</v>
      </c>
      <c r="AJ388" s="548">
        <v>0</v>
      </c>
    </row>
    <row r="389" spans="2:36" ht="30" x14ac:dyDescent="0.2">
      <c r="B389" s="85"/>
      <c r="C389" s="86"/>
      <c r="D389" s="86"/>
      <c r="E389" s="86"/>
      <c r="F389" s="86"/>
      <c r="G389" s="86"/>
      <c r="H389" s="86"/>
      <c r="I389" s="86"/>
      <c r="J389" s="86"/>
      <c r="K389" s="93" t="s">
        <v>113174</v>
      </c>
      <c r="L389" s="88">
        <v>81101500</v>
      </c>
      <c r="M389" s="397" t="s">
        <v>113496</v>
      </c>
      <c r="N389" s="90">
        <v>45782</v>
      </c>
      <c r="O389" s="90" t="s">
        <v>113087</v>
      </c>
      <c r="P389" s="91" t="s">
        <v>113022</v>
      </c>
      <c r="Q389" s="91" t="s">
        <v>113716</v>
      </c>
      <c r="R389" s="114">
        <v>50000000</v>
      </c>
      <c r="S389" s="530">
        <v>50000000</v>
      </c>
      <c r="T389" s="435"/>
      <c r="U389" s="139"/>
      <c r="V389" s="139"/>
      <c r="W389" s="318"/>
      <c r="X389" s="560"/>
      <c r="Y389" s="560"/>
      <c r="Z389" s="560"/>
      <c r="AA389" s="560"/>
      <c r="AB389" s="560"/>
      <c r="AC389" s="560"/>
      <c r="AD389" s="560"/>
      <c r="AE389" s="560"/>
      <c r="AF389" s="560">
        <v>50000000</v>
      </c>
      <c r="AG389" s="560"/>
      <c r="AH389" s="560"/>
      <c r="AI389" s="560"/>
      <c r="AJ389" s="548">
        <v>0</v>
      </c>
    </row>
  </sheetData>
  <sheetProtection formatCells="0" formatColumns="0" formatRows="0" insertColumns="0" insertRows="0" insertHyperlinks="0" deleteColumns="0" deleteRows="0" sort="0" autoFilter="0" pivotTables="0"/>
  <autoFilter ref="A6:AJ389" xr:uid="{C72F402F-663E-4AD4-9260-E34BFDE3D62B}"/>
  <phoneticPr fontId="42" type="noConversion"/>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30:W231 W42 W45:W47 W152 W81:W82 W205 W175:W177 W67 W84:W86 W60 W198:W199 W239:W242 W73:W76 W78:W79 W195:W196 W202:W203 W217:W218 W164:W165 W281:W284 W277:W279 W95 W302:W305 W179 W207:W212 W214:W215 W227:W228 W234 W120:W122 W70:W71 W259 W265:W267 W269:W272 W274:W275 W295 W20:W30 W154 W170:W171 W190:W192 W125 W308:W313 W291:W292 W250 W161:W162 W167:W168 W221:W222 W225 W89 W91:W93 W62:W65 W97:W107 W50:W58 W173 W316:W389 W236:W237 W181 W183 W109:W115" xr:uid="{00000000-0002-0000-0000-000000000000}">
      <formula1>#REF!</formula1>
    </dataValidation>
  </dataValidations>
  <pageMargins left="0.7" right="0.7" top="0.75" bottom="0.75" header="0.3" footer="0.3"/>
  <pageSetup scale="31" fitToHeight="0" orientation="landscape" r:id="rId1"/>
  <ignoredErrors>
    <ignoredError sqref="S271"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W147:W148 W94 W280 W40:W41 W44 W66 W72 W77 W80 W197 W219 W226 W223:W224 W306 W69 W163 W232:W233 W285:W288 W200</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W178 V96:W96 W254 W17:W19 X141:X142 W166 W149:W150 W83 W186:W187 W90 W126:W142 W155:W156 W158:W160</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W123 W144:W146 W116:W119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83"/>
      <c r="C341" s="584"/>
      <c r="D341" s="584"/>
      <c r="E341" s="584"/>
      <c r="F341" s="584"/>
      <c r="G341" s="584"/>
      <c r="H341" s="584"/>
      <c r="I341" s="584"/>
      <c r="J341" s="584"/>
      <c r="K341" s="584"/>
      <c r="L341" s="585"/>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2025-08-15T22:58:29Z</dcterms:modified>
</cp:coreProperties>
</file>